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2660" activeTab="1"/>
  </bookViews>
  <sheets>
    <sheet name="Spieltage" sheetId="1" r:id="rId1"/>
    <sheet name="Klasseneinteilung" sheetId="2" r:id="rId2"/>
    <sheet name="SL" sheetId="3" r:id="rId3"/>
    <sheet name="LL12" sheetId="4" state="hidden" r:id="rId4"/>
    <sheet name="LL" sheetId="5" r:id="rId5"/>
    <sheet name="BLSW" sheetId="6" r:id="rId6"/>
    <sheet name="BLSW_12" sheetId="7" state="hidden" r:id="rId7"/>
    <sheet name="BLNO" sheetId="8" r:id="rId8"/>
    <sheet name="KLSued" sheetId="9" r:id="rId9"/>
    <sheet name="KLWest" sheetId="10" r:id="rId10"/>
    <sheet name="KLOst" sheetId="11" state="hidden" r:id="rId11"/>
    <sheet name="KLOst_8" sheetId="12" r:id="rId12"/>
    <sheet name="KLNord" sheetId="13" r:id="rId13"/>
    <sheet name="KKNO" sheetId="14" state="hidden" r:id="rId14"/>
    <sheet name="KKNO_8" sheetId="15" r:id="rId15"/>
    <sheet name="KKSued" sheetId="16" r:id="rId16"/>
    <sheet name="KKWest" sheetId="17" state="hidden" r:id="rId17"/>
    <sheet name="KLWest_8" sheetId="18" r:id="rId18"/>
    <sheet name="Tabelle2" sheetId="19" r:id="rId19"/>
    <sheet name="Tabelle3" sheetId="20" r:id="rId20"/>
  </sheets>
  <definedNames>
    <definedName name="Bezirkslno">'Klasseneinteilung'!$A$19:$D$28</definedName>
    <definedName name="Bezirkslsw">'Klasseneinteilung'!$I$5:$L$16</definedName>
    <definedName name="_xlnm.Print_Area" localSheetId="7">'BLNO'!$A$1:$I$60</definedName>
    <definedName name="_xlnm.Print_Area" localSheetId="5">'BLSW'!$A$1:$I$60</definedName>
    <definedName name="_xlnm.Print_Area" localSheetId="6">'BLSW_12'!$A$1:$I$83</definedName>
    <definedName name="_xlnm.Print_Area" localSheetId="13">'KKNO'!$A$1:$I$60</definedName>
    <definedName name="_xlnm.Print_Area" localSheetId="14">'KKNO_8'!$A$1:$I$60</definedName>
    <definedName name="_xlnm.Print_Area" localSheetId="15">'KKSued'!$A$1:$I$60</definedName>
    <definedName name="_xlnm.Print_Area" localSheetId="16">'KKWest'!$A$1:$I$60</definedName>
    <definedName name="_xlnm.Print_Area" localSheetId="12">'KLNord'!$A$1:$I$60</definedName>
    <definedName name="_xlnm.Print_Area" localSheetId="10">'KLOst'!$A$1:$I$60</definedName>
    <definedName name="_xlnm.Print_Area" localSheetId="11">'KLOst_8'!$A$1:$I$60</definedName>
    <definedName name="_xlnm.Print_Area" localSheetId="8">'KLSued'!$A$1:$I$60</definedName>
    <definedName name="_xlnm.Print_Area" localSheetId="9">'KLWest'!$A$1:$I$60</definedName>
    <definedName name="_xlnm.Print_Area" localSheetId="17">'KLWest_8'!$A$1:$I$60</definedName>
    <definedName name="_xlnm.Print_Area" localSheetId="4">'LL'!$A$1:$I$60</definedName>
    <definedName name="_xlnm.Print_Area" localSheetId="3">'LL12'!$A$1:$I$83</definedName>
    <definedName name="_xlnm.Print_Area" localSheetId="2">'SL'!$A$1:$I$60</definedName>
    <definedName name="KKno">'Klasseneinteilung'!$A$48:$D$57</definedName>
    <definedName name="KKsued">'Klasseneinteilung'!$E$48:$H$59</definedName>
    <definedName name="KKwest">'Klasseneinteilung'!$I$48:$L$57</definedName>
    <definedName name="KLnord">'Klasseneinteilung'!$I$33:$L$42</definedName>
    <definedName name="KLost">'Klasseneinteilung'!$A$33:$D$42</definedName>
    <definedName name="Klsued">'Klasseneinteilung'!$E$19:$H$28</definedName>
    <definedName name="Klwest">'Klasseneinteilung'!$I$19:$L$28</definedName>
    <definedName name="Landesliga">'Klasseneinteilung'!$E$5:$H$16</definedName>
    <definedName name="Saarlandliga">'Klasseneinteilung'!$A$5:$D$14</definedName>
  </definedNames>
  <calcPr fullCalcOnLoad="1"/>
</workbook>
</file>

<file path=xl/sharedStrings.xml><?xml version="1.0" encoding="utf-8"?>
<sst xmlns="http://schemas.openxmlformats.org/spreadsheetml/2006/main" count="1252" uniqueCount="137">
  <si>
    <t xml:space="preserve"> </t>
  </si>
  <si>
    <t>Nr:</t>
  </si>
  <si>
    <t>Saarlandliga</t>
  </si>
  <si>
    <t>Tag</t>
  </si>
  <si>
    <t>Zeit</t>
  </si>
  <si>
    <t>Landesliga</t>
  </si>
  <si>
    <t>Bezirksliga S/W</t>
  </si>
  <si>
    <t>Fr</t>
  </si>
  <si>
    <t>Do</t>
  </si>
  <si>
    <t>Mo</t>
  </si>
  <si>
    <t>TV Altenkessel</t>
  </si>
  <si>
    <t>TTC Ensdorf</t>
  </si>
  <si>
    <t>Mi</t>
  </si>
  <si>
    <t>Di</t>
  </si>
  <si>
    <t>Bezirksliga N/O</t>
  </si>
  <si>
    <t>Kreisliga Süd</t>
  </si>
  <si>
    <t>Kreisliga West</t>
  </si>
  <si>
    <t>TTG Mandelbachtal</t>
  </si>
  <si>
    <t>TuS Eschringen</t>
  </si>
  <si>
    <t>TTC Schmelz</t>
  </si>
  <si>
    <t>Kreisliga Ost</t>
  </si>
  <si>
    <t>Kreisliga Nord</t>
  </si>
  <si>
    <t>TTG Bexbach</t>
  </si>
  <si>
    <t>Kreisklasse N / O</t>
  </si>
  <si>
    <t>Kreisklasse Süd</t>
  </si>
  <si>
    <t>Kreisklasse West</t>
  </si>
  <si>
    <t>TTF Saarhölzbach</t>
  </si>
  <si>
    <t>Klasseneinteilung-RS</t>
  </si>
  <si>
    <t>Vorrunde</t>
  </si>
  <si>
    <t>Spieltag</t>
  </si>
  <si>
    <t>Rückrunde</t>
  </si>
  <si>
    <t>STTB</t>
  </si>
  <si>
    <t>Senioren</t>
  </si>
  <si>
    <t>Spielplan</t>
  </si>
  <si>
    <t>Saison</t>
  </si>
  <si>
    <t>-</t>
  </si>
  <si>
    <t>Bezirksliga Süd/West</t>
  </si>
  <si>
    <t>Bezirksliga Nord/Ost</t>
  </si>
  <si>
    <t>spielfrei</t>
  </si>
  <si>
    <t>Kreisklasse Nord/Ost</t>
  </si>
  <si>
    <t>MTTC Namborn</t>
  </si>
  <si>
    <t>DJK Dudweiler 3</t>
  </si>
  <si>
    <t>DJK Heusweiler 2</t>
  </si>
  <si>
    <t>DJK Dudweiler 2</t>
  </si>
  <si>
    <t>TTC Köllerbach 3</t>
  </si>
  <si>
    <t>DJK Heusweiler 3</t>
  </si>
  <si>
    <t>TTG Dillingen 3</t>
  </si>
  <si>
    <t>TTG Dillingen 2</t>
  </si>
  <si>
    <t>DJK Bildstock 2</t>
  </si>
  <si>
    <t>TTC Dörsdorf 2</t>
  </si>
  <si>
    <t>TTF Eppelborn 2</t>
  </si>
  <si>
    <t>TTC Altenwald 2</t>
  </si>
  <si>
    <t>TTC Köllerbach 4</t>
  </si>
  <si>
    <t>TTC Hostenbach 2</t>
  </si>
  <si>
    <t>TTC Püttlingen 3</t>
  </si>
  <si>
    <t>TTC Wallerfangen 2</t>
  </si>
  <si>
    <t>TTC Rehlingen 2</t>
  </si>
  <si>
    <t>TTV Hasborn 2</t>
  </si>
  <si>
    <t>TTC Köllerbach 2</t>
  </si>
  <si>
    <t>TTF Tholey</t>
  </si>
  <si>
    <t>TTC Püttlingen 2</t>
  </si>
  <si>
    <t xml:space="preserve">TTC Altenwald </t>
  </si>
  <si>
    <t xml:space="preserve">TTG Dillingen </t>
  </si>
  <si>
    <t xml:space="preserve">DJK Dudweiler </t>
  </si>
  <si>
    <t xml:space="preserve">DJK Heusweiler </t>
  </si>
  <si>
    <t xml:space="preserve">TTC Köllerbach </t>
  </si>
  <si>
    <t xml:space="preserve">TTG Reisbach-Nalbach </t>
  </si>
  <si>
    <t xml:space="preserve">TTC Dörsdorf   </t>
  </si>
  <si>
    <t xml:space="preserve">TTF Eppelborn </t>
  </si>
  <si>
    <t>TTG Fremersdorf-Gerlfangen</t>
  </si>
  <si>
    <t xml:space="preserve">TTV Hasborn </t>
  </si>
  <si>
    <t xml:space="preserve">TTC Püttlingen </t>
  </si>
  <si>
    <t xml:space="preserve">TTC Saarwellingen </t>
  </si>
  <si>
    <t xml:space="preserve">TTC Wallerfangen </t>
  </si>
  <si>
    <t xml:space="preserve">DJK Saarbrücken-Rastpfuhl   </t>
  </si>
  <si>
    <t xml:space="preserve">TTC Wehrden </t>
  </si>
  <si>
    <t>TTC Lockweiler-Krettnich</t>
  </si>
  <si>
    <t xml:space="preserve">TTG Holz-Wahlschied </t>
  </si>
  <si>
    <t xml:space="preserve">TTG Marpingen-Alsweiler </t>
  </si>
  <si>
    <t xml:space="preserve">TTC Neuweiler </t>
  </si>
  <si>
    <t xml:space="preserve">Post SV Saarbrücken </t>
  </si>
  <si>
    <t xml:space="preserve">SG Bous/Elm </t>
  </si>
  <si>
    <t xml:space="preserve">TTC Beckingen </t>
  </si>
  <si>
    <t xml:space="preserve">TTF Merzig </t>
  </si>
  <si>
    <t xml:space="preserve">TTC Rehlingen </t>
  </si>
  <si>
    <t xml:space="preserve">TTV Schwalbach </t>
  </si>
  <si>
    <t xml:space="preserve">TV Quierschied </t>
  </si>
  <si>
    <t xml:space="preserve">TuS Rentrisch </t>
  </si>
  <si>
    <t xml:space="preserve">DJK Bildstock </t>
  </si>
  <si>
    <t xml:space="preserve">TTV Berschweiler </t>
  </si>
  <si>
    <t>TTC Limbach e.V.</t>
  </si>
  <si>
    <t xml:space="preserve">TTC Urexweiler </t>
  </si>
  <si>
    <t xml:space="preserve">TTG Wustweiler-Uchtelfangen </t>
  </si>
  <si>
    <t xml:space="preserve">TV Dorf im Warndt </t>
  </si>
  <si>
    <t xml:space="preserve">TTC Hostenbach </t>
  </si>
  <si>
    <t xml:space="preserve">SV Sitterswald </t>
  </si>
  <si>
    <t xml:space="preserve">TTG/DJK Ford Saarlouis </t>
  </si>
  <si>
    <t xml:space="preserve">TTV Wadgassen </t>
  </si>
  <si>
    <t>DJK Dudweiler 4</t>
  </si>
  <si>
    <t>DJK Saarbrücken-Rastpfuhl 2</t>
  </si>
  <si>
    <t>SV Saar 05 Saarbrücken 2</t>
  </si>
  <si>
    <t>TTG Fremersdorf-Gerlfangen 2</t>
  </si>
  <si>
    <t xml:space="preserve">TuS Neunkirchen 2   </t>
  </si>
  <si>
    <r>
      <t>TTG Rohrbach-St.Ingbert 2</t>
    </r>
  </si>
  <si>
    <t>TTG Holz-Wahlschied 2</t>
  </si>
  <si>
    <t>ATSV Saarbrücken 2</t>
  </si>
  <si>
    <t>TTG Dillingen 4</t>
  </si>
  <si>
    <t>Seniorenwart</t>
  </si>
  <si>
    <t>Ernst Niederweis</t>
  </si>
  <si>
    <t>SG TTV Niederlinxweiler/ DJK TT Ottweiler</t>
  </si>
  <si>
    <t xml:space="preserve">SV Saar 05 Saarbrücken  </t>
  </si>
  <si>
    <t>TTG Rohrbach-St. Ingbert</t>
  </si>
  <si>
    <t xml:space="preserve">SG Schwarzenholz/Hülzweiler </t>
  </si>
  <si>
    <t>TTC Kerpen Illingen</t>
  </si>
  <si>
    <t>2013/2014</t>
  </si>
  <si>
    <t>Senioren-Klassen  2013/2014</t>
  </si>
  <si>
    <t>TTC Gersweiler</t>
  </si>
  <si>
    <t>SG Merchweiler/TV Limbach</t>
  </si>
  <si>
    <t>ATSV Saarbrücken</t>
  </si>
  <si>
    <t>20.00</t>
  </si>
  <si>
    <t>TTC Schwarzenholz</t>
  </si>
  <si>
    <t>TTSV Fraulautern</t>
  </si>
  <si>
    <t>TTC Lebach</t>
  </si>
  <si>
    <t>TuS Neunkirchen</t>
  </si>
  <si>
    <t>DJK Schiffweiler</t>
  </si>
  <si>
    <t>SG TTG Neunkirchen/Landsw.-Reden</t>
  </si>
  <si>
    <t>Polizei SV TT Saarbrüücken</t>
  </si>
  <si>
    <t>TTV Eiweiler-Niedersalbach</t>
  </si>
  <si>
    <t>TTC Gersweiler 2</t>
  </si>
  <si>
    <t>TTC Berus</t>
  </si>
  <si>
    <t>TTZ Altstadt-Kirkel</t>
  </si>
  <si>
    <t>TTC Lautzkirchen</t>
  </si>
  <si>
    <t>SV Remmesweiler</t>
  </si>
  <si>
    <t>TTC Wemmetsweiler</t>
  </si>
  <si>
    <t>TV Brebach</t>
  </si>
  <si>
    <t>SG Saarlouis-Roden/Beaumarais</t>
  </si>
  <si>
    <t>SG Düppenweiler/Hargarten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</si>
</sst>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yyyy"/>
    <numFmt numFmtId="173" formatCode="h:mm"/>
    <numFmt numFmtId="174" formatCode="d/m"/>
    <numFmt numFmtId="175" formatCode="d/m/yyyy"/>
    <numFmt numFmtId="176" formatCode="h:mm;@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176" fontId="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20" fontId="0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20" fontId="0" fillId="0" borderId="11" xfId="0" applyNumberFormat="1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Alignment="1" applyProtection="1">
      <alignment horizontal="center" vertical="center"/>
      <protection locked="0"/>
    </xf>
    <xf numFmtId="176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12</xdr:row>
      <xdr:rowOff>0</xdr:rowOff>
    </xdr:from>
    <xdr:to>
      <xdr:col>9</xdr:col>
      <xdr:colOff>66675</xdr:colOff>
      <xdr:row>12</xdr:row>
      <xdr:rowOff>19050</xdr:rowOff>
    </xdr:to>
    <xdr:pic>
      <xdr:nvPicPr>
        <xdr:cNvPr id="1" name="Picture 546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25336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13</xdr:row>
      <xdr:rowOff>9525</xdr:rowOff>
    </xdr:from>
    <xdr:to>
      <xdr:col>9</xdr:col>
      <xdr:colOff>571500</xdr:colOff>
      <xdr:row>13</xdr:row>
      <xdr:rowOff>19050</xdr:rowOff>
    </xdr:to>
    <xdr:pic>
      <xdr:nvPicPr>
        <xdr:cNvPr id="2" name="Picture 708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3028950"/>
          <a:ext cx="581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66675</xdr:colOff>
      <xdr:row>25</xdr:row>
      <xdr:rowOff>9525</xdr:rowOff>
    </xdr:to>
    <xdr:pic>
      <xdr:nvPicPr>
        <xdr:cNvPr id="3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66675</xdr:colOff>
      <xdr:row>25</xdr:row>
      <xdr:rowOff>9525</xdr:rowOff>
    </xdr:to>
    <xdr:pic>
      <xdr:nvPicPr>
        <xdr:cNvPr id="4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66675</xdr:colOff>
      <xdr:row>25</xdr:row>
      <xdr:rowOff>9525</xdr:rowOff>
    </xdr:to>
    <xdr:pic>
      <xdr:nvPicPr>
        <xdr:cNvPr id="5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66675</xdr:colOff>
      <xdr:row>25</xdr:row>
      <xdr:rowOff>9525</xdr:rowOff>
    </xdr:to>
    <xdr:pic>
      <xdr:nvPicPr>
        <xdr:cNvPr id="6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66675</xdr:colOff>
      <xdr:row>25</xdr:row>
      <xdr:rowOff>9525</xdr:rowOff>
    </xdr:to>
    <xdr:pic>
      <xdr:nvPicPr>
        <xdr:cNvPr id="7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66675</xdr:colOff>
      <xdr:row>25</xdr:row>
      <xdr:rowOff>9525</xdr:rowOff>
    </xdr:to>
    <xdr:pic>
      <xdr:nvPicPr>
        <xdr:cNvPr id="8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66675</xdr:colOff>
      <xdr:row>25</xdr:row>
      <xdr:rowOff>9525</xdr:rowOff>
    </xdr:to>
    <xdr:pic>
      <xdr:nvPicPr>
        <xdr:cNvPr id="9" name="Picture 422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9525</xdr:rowOff>
    </xdr:to>
    <xdr:pic>
      <xdr:nvPicPr>
        <xdr:cNvPr id="10" name="Picture 688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431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55</xdr:row>
      <xdr:rowOff>104775</xdr:rowOff>
    </xdr:from>
    <xdr:to>
      <xdr:col>1</xdr:col>
      <xdr:colOff>104775</xdr:colOff>
      <xdr:row>55</xdr:row>
      <xdr:rowOff>104775</xdr:rowOff>
    </xdr:to>
    <xdr:pic>
      <xdr:nvPicPr>
        <xdr:cNvPr id="11" name="Picture 420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477875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66675</xdr:colOff>
      <xdr:row>22</xdr:row>
      <xdr:rowOff>9525</xdr:rowOff>
    </xdr:to>
    <xdr:pic>
      <xdr:nvPicPr>
        <xdr:cNvPr id="12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66675</xdr:colOff>
      <xdr:row>22</xdr:row>
      <xdr:rowOff>9525</xdr:rowOff>
    </xdr:to>
    <xdr:pic>
      <xdr:nvPicPr>
        <xdr:cNvPr id="13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66675</xdr:colOff>
      <xdr:row>22</xdr:row>
      <xdr:rowOff>9525</xdr:rowOff>
    </xdr:to>
    <xdr:pic>
      <xdr:nvPicPr>
        <xdr:cNvPr id="14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66675</xdr:colOff>
      <xdr:row>22</xdr:row>
      <xdr:rowOff>9525</xdr:rowOff>
    </xdr:to>
    <xdr:pic>
      <xdr:nvPicPr>
        <xdr:cNvPr id="15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66675</xdr:colOff>
      <xdr:row>22</xdr:row>
      <xdr:rowOff>9525</xdr:rowOff>
    </xdr:to>
    <xdr:pic>
      <xdr:nvPicPr>
        <xdr:cNvPr id="16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66675</xdr:colOff>
      <xdr:row>22</xdr:row>
      <xdr:rowOff>9525</xdr:rowOff>
    </xdr:to>
    <xdr:pic>
      <xdr:nvPicPr>
        <xdr:cNvPr id="17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66675</xdr:colOff>
      <xdr:row>22</xdr:row>
      <xdr:rowOff>9525</xdr:rowOff>
    </xdr:to>
    <xdr:pic>
      <xdr:nvPicPr>
        <xdr:cNvPr id="18" name="Picture 422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47</xdr:row>
      <xdr:rowOff>171450</xdr:rowOff>
    </xdr:from>
    <xdr:to>
      <xdr:col>3</xdr:col>
      <xdr:colOff>9525</xdr:colOff>
      <xdr:row>47</xdr:row>
      <xdr:rowOff>171450</xdr:rowOff>
    </xdr:to>
    <xdr:pic>
      <xdr:nvPicPr>
        <xdr:cNvPr id="19" name="Picture 420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1115675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47</xdr:row>
      <xdr:rowOff>104775</xdr:rowOff>
    </xdr:from>
    <xdr:to>
      <xdr:col>13</xdr:col>
      <xdr:colOff>104775</xdr:colOff>
      <xdr:row>47</xdr:row>
      <xdr:rowOff>104775</xdr:rowOff>
    </xdr:to>
    <xdr:pic>
      <xdr:nvPicPr>
        <xdr:cNvPr id="20" name="Picture 420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104900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50</xdr:row>
      <xdr:rowOff>161925</xdr:rowOff>
    </xdr:from>
    <xdr:to>
      <xdr:col>1</xdr:col>
      <xdr:colOff>104775</xdr:colOff>
      <xdr:row>50</xdr:row>
      <xdr:rowOff>161925</xdr:rowOff>
    </xdr:to>
    <xdr:pic>
      <xdr:nvPicPr>
        <xdr:cNvPr id="21" name="Picture 420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2239625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66675</xdr:colOff>
      <xdr:row>12</xdr:row>
      <xdr:rowOff>19050</xdr:rowOff>
    </xdr:to>
    <xdr:pic>
      <xdr:nvPicPr>
        <xdr:cNvPr id="22" name="Picture 546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5336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13</xdr:row>
      <xdr:rowOff>9525</xdr:rowOff>
    </xdr:from>
    <xdr:to>
      <xdr:col>14</xdr:col>
      <xdr:colOff>47625</xdr:colOff>
      <xdr:row>13</xdr:row>
      <xdr:rowOff>19050</xdr:rowOff>
    </xdr:to>
    <xdr:pic>
      <xdr:nvPicPr>
        <xdr:cNvPr id="23" name="Picture 708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3028950"/>
          <a:ext cx="581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5</xdr:row>
      <xdr:rowOff>9525</xdr:rowOff>
    </xdr:from>
    <xdr:to>
      <xdr:col>9</xdr:col>
      <xdr:colOff>571500</xdr:colOff>
      <xdr:row>5</xdr:row>
      <xdr:rowOff>28575</xdr:rowOff>
    </xdr:to>
    <xdr:pic>
      <xdr:nvPicPr>
        <xdr:cNvPr id="24" name="Picture 708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085850"/>
          <a:ext cx="5810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66675</xdr:colOff>
      <xdr:row>25</xdr:row>
      <xdr:rowOff>9525</xdr:rowOff>
    </xdr:to>
    <xdr:pic>
      <xdr:nvPicPr>
        <xdr:cNvPr id="25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66675</xdr:colOff>
      <xdr:row>25</xdr:row>
      <xdr:rowOff>9525</xdr:rowOff>
    </xdr:to>
    <xdr:pic>
      <xdr:nvPicPr>
        <xdr:cNvPr id="26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66675</xdr:colOff>
      <xdr:row>25</xdr:row>
      <xdr:rowOff>9525</xdr:rowOff>
    </xdr:to>
    <xdr:pic>
      <xdr:nvPicPr>
        <xdr:cNvPr id="27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66675</xdr:colOff>
      <xdr:row>25</xdr:row>
      <xdr:rowOff>9525</xdr:rowOff>
    </xdr:to>
    <xdr:pic>
      <xdr:nvPicPr>
        <xdr:cNvPr id="28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66675</xdr:colOff>
      <xdr:row>25</xdr:row>
      <xdr:rowOff>9525</xdr:rowOff>
    </xdr:to>
    <xdr:pic>
      <xdr:nvPicPr>
        <xdr:cNvPr id="29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66675</xdr:colOff>
      <xdr:row>25</xdr:row>
      <xdr:rowOff>9525</xdr:rowOff>
    </xdr:to>
    <xdr:pic>
      <xdr:nvPicPr>
        <xdr:cNvPr id="30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66675</xdr:colOff>
      <xdr:row>25</xdr:row>
      <xdr:rowOff>9525</xdr:rowOff>
    </xdr:to>
    <xdr:pic>
      <xdr:nvPicPr>
        <xdr:cNvPr id="31" name="Picture 422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66675</xdr:colOff>
      <xdr:row>22</xdr:row>
      <xdr:rowOff>9525</xdr:rowOff>
    </xdr:to>
    <xdr:pic>
      <xdr:nvPicPr>
        <xdr:cNvPr id="32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66675</xdr:colOff>
      <xdr:row>22</xdr:row>
      <xdr:rowOff>9525</xdr:rowOff>
    </xdr:to>
    <xdr:pic>
      <xdr:nvPicPr>
        <xdr:cNvPr id="33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66675</xdr:colOff>
      <xdr:row>22</xdr:row>
      <xdr:rowOff>9525</xdr:rowOff>
    </xdr:to>
    <xdr:pic>
      <xdr:nvPicPr>
        <xdr:cNvPr id="34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66675</xdr:colOff>
      <xdr:row>22</xdr:row>
      <xdr:rowOff>9525</xdr:rowOff>
    </xdr:to>
    <xdr:pic>
      <xdr:nvPicPr>
        <xdr:cNvPr id="35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66675</xdr:colOff>
      <xdr:row>22</xdr:row>
      <xdr:rowOff>9525</xdr:rowOff>
    </xdr:to>
    <xdr:pic>
      <xdr:nvPicPr>
        <xdr:cNvPr id="36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66675</xdr:colOff>
      <xdr:row>22</xdr:row>
      <xdr:rowOff>9525</xdr:rowOff>
    </xdr:to>
    <xdr:pic>
      <xdr:nvPicPr>
        <xdr:cNvPr id="37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66675</xdr:colOff>
      <xdr:row>22</xdr:row>
      <xdr:rowOff>9525</xdr:rowOff>
    </xdr:to>
    <xdr:pic>
      <xdr:nvPicPr>
        <xdr:cNvPr id="38" name="Picture 422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66675</xdr:colOff>
      <xdr:row>22</xdr:row>
      <xdr:rowOff>9525</xdr:rowOff>
    </xdr:to>
    <xdr:pic>
      <xdr:nvPicPr>
        <xdr:cNvPr id="39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66675</xdr:colOff>
      <xdr:row>22</xdr:row>
      <xdr:rowOff>9525</xdr:rowOff>
    </xdr:to>
    <xdr:pic>
      <xdr:nvPicPr>
        <xdr:cNvPr id="40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66675</xdr:colOff>
      <xdr:row>22</xdr:row>
      <xdr:rowOff>9525</xdr:rowOff>
    </xdr:to>
    <xdr:pic>
      <xdr:nvPicPr>
        <xdr:cNvPr id="41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66675</xdr:colOff>
      <xdr:row>22</xdr:row>
      <xdr:rowOff>9525</xdr:rowOff>
    </xdr:to>
    <xdr:pic>
      <xdr:nvPicPr>
        <xdr:cNvPr id="42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66675</xdr:colOff>
      <xdr:row>22</xdr:row>
      <xdr:rowOff>9525</xdr:rowOff>
    </xdr:to>
    <xdr:pic>
      <xdr:nvPicPr>
        <xdr:cNvPr id="43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66675</xdr:colOff>
      <xdr:row>22</xdr:row>
      <xdr:rowOff>9525</xdr:rowOff>
    </xdr:to>
    <xdr:pic>
      <xdr:nvPicPr>
        <xdr:cNvPr id="44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66675</xdr:colOff>
      <xdr:row>22</xdr:row>
      <xdr:rowOff>9525</xdr:rowOff>
    </xdr:to>
    <xdr:pic>
      <xdr:nvPicPr>
        <xdr:cNvPr id="45" name="Picture 422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66675</xdr:colOff>
      <xdr:row>19</xdr:row>
      <xdr:rowOff>9525</xdr:rowOff>
    </xdr:to>
    <xdr:pic>
      <xdr:nvPicPr>
        <xdr:cNvPr id="46" name="Picture 688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31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9525</xdr:rowOff>
    </xdr:to>
    <xdr:pic>
      <xdr:nvPicPr>
        <xdr:cNvPr id="47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431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9525</xdr:rowOff>
    </xdr:to>
    <xdr:pic>
      <xdr:nvPicPr>
        <xdr:cNvPr id="48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431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9525</xdr:rowOff>
    </xdr:to>
    <xdr:pic>
      <xdr:nvPicPr>
        <xdr:cNvPr id="49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431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9525</xdr:rowOff>
    </xdr:to>
    <xdr:pic>
      <xdr:nvPicPr>
        <xdr:cNvPr id="50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431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9525</xdr:rowOff>
    </xdr:to>
    <xdr:pic>
      <xdr:nvPicPr>
        <xdr:cNvPr id="51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431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9525</xdr:rowOff>
    </xdr:to>
    <xdr:pic>
      <xdr:nvPicPr>
        <xdr:cNvPr id="52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431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9525</xdr:rowOff>
    </xdr:to>
    <xdr:pic>
      <xdr:nvPicPr>
        <xdr:cNvPr id="53" name="Picture 422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431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9525</xdr:rowOff>
    </xdr:to>
    <xdr:pic>
      <xdr:nvPicPr>
        <xdr:cNvPr id="54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4638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9525</xdr:rowOff>
    </xdr:to>
    <xdr:pic>
      <xdr:nvPicPr>
        <xdr:cNvPr id="55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4638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9525</xdr:rowOff>
    </xdr:to>
    <xdr:pic>
      <xdr:nvPicPr>
        <xdr:cNvPr id="56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4638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9525</xdr:rowOff>
    </xdr:to>
    <xdr:pic>
      <xdr:nvPicPr>
        <xdr:cNvPr id="57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4638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9525</xdr:rowOff>
    </xdr:to>
    <xdr:pic>
      <xdr:nvPicPr>
        <xdr:cNvPr id="58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4638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9525</xdr:rowOff>
    </xdr:to>
    <xdr:pic>
      <xdr:nvPicPr>
        <xdr:cNvPr id="59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4638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9525</xdr:rowOff>
    </xdr:to>
    <xdr:pic>
      <xdr:nvPicPr>
        <xdr:cNvPr id="60" name="Picture 422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4638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66675</xdr:colOff>
      <xdr:row>18</xdr:row>
      <xdr:rowOff>9525</xdr:rowOff>
    </xdr:to>
    <xdr:pic>
      <xdr:nvPicPr>
        <xdr:cNvPr id="61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3990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66675</xdr:colOff>
      <xdr:row>18</xdr:row>
      <xdr:rowOff>9525</xdr:rowOff>
    </xdr:to>
    <xdr:pic>
      <xdr:nvPicPr>
        <xdr:cNvPr id="62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3990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66675</xdr:colOff>
      <xdr:row>18</xdr:row>
      <xdr:rowOff>9525</xdr:rowOff>
    </xdr:to>
    <xdr:pic>
      <xdr:nvPicPr>
        <xdr:cNvPr id="63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3990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66675</xdr:colOff>
      <xdr:row>18</xdr:row>
      <xdr:rowOff>9525</xdr:rowOff>
    </xdr:to>
    <xdr:pic>
      <xdr:nvPicPr>
        <xdr:cNvPr id="64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3990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66675</xdr:colOff>
      <xdr:row>18</xdr:row>
      <xdr:rowOff>9525</xdr:rowOff>
    </xdr:to>
    <xdr:pic>
      <xdr:nvPicPr>
        <xdr:cNvPr id="65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3990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66675</xdr:colOff>
      <xdr:row>18</xdr:row>
      <xdr:rowOff>9525</xdr:rowOff>
    </xdr:to>
    <xdr:pic>
      <xdr:nvPicPr>
        <xdr:cNvPr id="66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3990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66675</xdr:colOff>
      <xdr:row>18</xdr:row>
      <xdr:rowOff>9525</xdr:rowOff>
    </xdr:to>
    <xdr:pic>
      <xdr:nvPicPr>
        <xdr:cNvPr id="67" name="Picture 422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3990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66675</xdr:colOff>
      <xdr:row>20</xdr:row>
      <xdr:rowOff>9525</xdr:rowOff>
    </xdr:to>
    <xdr:pic>
      <xdr:nvPicPr>
        <xdr:cNvPr id="68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4638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66675</xdr:colOff>
      <xdr:row>20</xdr:row>
      <xdr:rowOff>9525</xdr:rowOff>
    </xdr:to>
    <xdr:pic>
      <xdr:nvPicPr>
        <xdr:cNvPr id="69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4638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66675</xdr:colOff>
      <xdr:row>20</xdr:row>
      <xdr:rowOff>9525</xdr:rowOff>
    </xdr:to>
    <xdr:pic>
      <xdr:nvPicPr>
        <xdr:cNvPr id="70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4638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66675</xdr:colOff>
      <xdr:row>20</xdr:row>
      <xdr:rowOff>9525</xdr:rowOff>
    </xdr:to>
    <xdr:pic>
      <xdr:nvPicPr>
        <xdr:cNvPr id="71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4638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66675</xdr:colOff>
      <xdr:row>20</xdr:row>
      <xdr:rowOff>9525</xdr:rowOff>
    </xdr:to>
    <xdr:pic>
      <xdr:nvPicPr>
        <xdr:cNvPr id="72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4638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66675</xdr:colOff>
      <xdr:row>20</xdr:row>
      <xdr:rowOff>9525</xdr:rowOff>
    </xdr:to>
    <xdr:pic>
      <xdr:nvPicPr>
        <xdr:cNvPr id="73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4638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66675</xdr:colOff>
      <xdr:row>20</xdr:row>
      <xdr:rowOff>9525</xdr:rowOff>
    </xdr:to>
    <xdr:pic>
      <xdr:nvPicPr>
        <xdr:cNvPr id="74" name="Picture 422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4638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66675</xdr:colOff>
      <xdr:row>24</xdr:row>
      <xdr:rowOff>9525</xdr:rowOff>
    </xdr:to>
    <xdr:pic>
      <xdr:nvPicPr>
        <xdr:cNvPr id="75" name="Picture 688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6096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47</xdr:row>
      <xdr:rowOff>104775</xdr:rowOff>
    </xdr:from>
    <xdr:to>
      <xdr:col>14</xdr:col>
      <xdr:colOff>104775</xdr:colOff>
      <xdr:row>47</xdr:row>
      <xdr:rowOff>104775</xdr:rowOff>
    </xdr:to>
    <xdr:pic>
      <xdr:nvPicPr>
        <xdr:cNvPr id="76" name="Picture 420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1104900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50</xdr:row>
      <xdr:rowOff>161925</xdr:rowOff>
    </xdr:from>
    <xdr:to>
      <xdr:col>14</xdr:col>
      <xdr:colOff>104775</xdr:colOff>
      <xdr:row>50</xdr:row>
      <xdr:rowOff>161925</xdr:rowOff>
    </xdr:to>
    <xdr:pic>
      <xdr:nvPicPr>
        <xdr:cNvPr id="77" name="Picture 420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12239625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50</xdr:row>
      <xdr:rowOff>161925</xdr:rowOff>
    </xdr:from>
    <xdr:to>
      <xdr:col>1</xdr:col>
      <xdr:colOff>104775</xdr:colOff>
      <xdr:row>50</xdr:row>
      <xdr:rowOff>161925</xdr:rowOff>
    </xdr:to>
    <xdr:pic>
      <xdr:nvPicPr>
        <xdr:cNvPr id="78" name="Picture 420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2239625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53</xdr:row>
      <xdr:rowOff>104775</xdr:rowOff>
    </xdr:from>
    <xdr:to>
      <xdr:col>1</xdr:col>
      <xdr:colOff>104775</xdr:colOff>
      <xdr:row>53</xdr:row>
      <xdr:rowOff>104775</xdr:rowOff>
    </xdr:to>
    <xdr:pic>
      <xdr:nvPicPr>
        <xdr:cNvPr id="79" name="Picture 420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154025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54</xdr:row>
      <xdr:rowOff>104775</xdr:rowOff>
    </xdr:from>
    <xdr:to>
      <xdr:col>1</xdr:col>
      <xdr:colOff>104775</xdr:colOff>
      <xdr:row>54</xdr:row>
      <xdr:rowOff>104775</xdr:rowOff>
    </xdr:to>
    <xdr:pic>
      <xdr:nvPicPr>
        <xdr:cNvPr id="80" name="Picture 420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159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56</xdr:row>
      <xdr:rowOff>104775</xdr:rowOff>
    </xdr:from>
    <xdr:to>
      <xdr:col>1</xdr:col>
      <xdr:colOff>104775</xdr:colOff>
      <xdr:row>56</xdr:row>
      <xdr:rowOff>104775</xdr:rowOff>
    </xdr:to>
    <xdr:pic>
      <xdr:nvPicPr>
        <xdr:cNvPr id="81" name="Picture 420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63980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51</xdr:row>
      <xdr:rowOff>104775</xdr:rowOff>
    </xdr:from>
    <xdr:to>
      <xdr:col>9</xdr:col>
      <xdr:colOff>104775</xdr:colOff>
      <xdr:row>51</xdr:row>
      <xdr:rowOff>104775</xdr:rowOff>
    </xdr:to>
    <xdr:pic>
      <xdr:nvPicPr>
        <xdr:cNvPr id="82" name="Picture 420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26682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55</xdr:row>
      <xdr:rowOff>104775</xdr:rowOff>
    </xdr:from>
    <xdr:to>
      <xdr:col>9</xdr:col>
      <xdr:colOff>104775</xdr:colOff>
      <xdr:row>55</xdr:row>
      <xdr:rowOff>104775</xdr:rowOff>
    </xdr:to>
    <xdr:pic>
      <xdr:nvPicPr>
        <xdr:cNvPr id="83" name="Picture 420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3477875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54</xdr:row>
      <xdr:rowOff>104775</xdr:rowOff>
    </xdr:from>
    <xdr:to>
      <xdr:col>9</xdr:col>
      <xdr:colOff>104775</xdr:colOff>
      <xdr:row>54</xdr:row>
      <xdr:rowOff>104775</xdr:rowOff>
    </xdr:to>
    <xdr:pic>
      <xdr:nvPicPr>
        <xdr:cNvPr id="84" name="Picture 420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33159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56</xdr:row>
      <xdr:rowOff>104775</xdr:rowOff>
    </xdr:from>
    <xdr:to>
      <xdr:col>9</xdr:col>
      <xdr:colOff>104775</xdr:colOff>
      <xdr:row>56</xdr:row>
      <xdr:rowOff>104775</xdr:rowOff>
    </xdr:to>
    <xdr:pic>
      <xdr:nvPicPr>
        <xdr:cNvPr id="85" name="Picture 420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363980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66675</xdr:colOff>
      <xdr:row>12</xdr:row>
      <xdr:rowOff>19050</xdr:rowOff>
    </xdr:to>
    <xdr:pic>
      <xdr:nvPicPr>
        <xdr:cNvPr id="86" name="Picture 546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25336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13</xdr:row>
      <xdr:rowOff>9525</xdr:rowOff>
    </xdr:from>
    <xdr:to>
      <xdr:col>14</xdr:col>
      <xdr:colOff>809625</xdr:colOff>
      <xdr:row>13</xdr:row>
      <xdr:rowOff>19050</xdr:rowOff>
    </xdr:to>
    <xdr:pic>
      <xdr:nvPicPr>
        <xdr:cNvPr id="87" name="Picture 708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028950"/>
          <a:ext cx="581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5</xdr:row>
      <xdr:rowOff>9525</xdr:rowOff>
    </xdr:from>
    <xdr:to>
      <xdr:col>14</xdr:col>
      <xdr:colOff>809625</xdr:colOff>
      <xdr:row>5</xdr:row>
      <xdr:rowOff>28575</xdr:rowOff>
    </xdr:to>
    <xdr:pic>
      <xdr:nvPicPr>
        <xdr:cNvPr id="88" name="Picture 708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1085850"/>
          <a:ext cx="5810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66675</xdr:colOff>
      <xdr:row>25</xdr:row>
      <xdr:rowOff>9525</xdr:rowOff>
    </xdr:to>
    <xdr:pic>
      <xdr:nvPicPr>
        <xdr:cNvPr id="89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66675</xdr:colOff>
      <xdr:row>25</xdr:row>
      <xdr:rowOff>9525</xdr:rowOff>
    </xdr:to>
    <xdr:pic>
      <xdr:nvPicPr>
        <xdr:cNvPr id="90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66675</xdr:colOff>
      <xdr:row>25</xdr:row>
      <xdr:rowOff>9525</xdr:rowOff>
    </xdr:to>
    <xdr:pic>
      <xdr:nvPicPr>
        <xdr:cNvPr id="91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66675</xdr:colOff>
      <xdr:row>25</xdr:row>
      <xdr:rowOff>9525</xdr:rowOff>
    </xdr:to>
    <xdr:pic>
      <xdr:nvPicPr>
        <xdr:cNvPr id="92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66675</xdr:colOff>
      <xdr:row>25</xdr:row>
      <xdr:rowOff>9525</xdr:rowOff>
    </xdr:to>
    <xdr:pic>
      <xdr:nvPicPr>
        <xdr:cNvPr id="93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66675</xdr:colOff>
      <xdr:row>25</xdr:row>
      <xdr:rowOff>9525</xdr:rowOff>
    </xdr:to>
    <xdr:pic>
      <xdr:nvPicPr>
        <xdr:cNvPr id="94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66675</xdr:colOff>
      <xdr:row>25</xdr:row>
      <xdr:rowOff>9525</xdr:rowOff>
    </xdr:to>
    <xdr:pic>
      <xdr:nvPicPr>
        <xdr:cNvPr id="95" name="Picture 422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66675</xdr:colOff>
      <xdr:row>22</xdr:row>
      <xdr:rowOff>9525</xdr:rowOff>
    </xdr:to>
    <xdr:pic>
      <xdr:nvPicPr>
        <xdr:cNvPr id="96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66675</xdr:colOff>
      <xdr:row>22</xdr:row>
      <xdr:rowOff>9525</xdr:rowOff>
    </xdr:to>
    <xdr:pic>
      <xdr:nvPicPr>
        <xdr:cNvPr id="97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66675</xdr:colOff>
      <xdr:row>22</xdr:row>
      <xdr:rowOff>9525</xdr:rowOff>
    </xdr:to>
    <xdr:pic>
      <xdr:nvPicPr>
        <xdr:cNvPr id="98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66675</xdr:colOff>
      <xdr:row>22</xdr:row>
      <xdr:rowOff>9525</xdr:rowOff>
    </xdr:to>
    <xdr:pic>
      <xdr:nvPicPr>
        <xdr:cNvPr id="99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66675</xdr:colOff>
      <xdr:row>22</xdr:row>
      <xdr:rowOff>9525</xdr:rowOff>
    </xdr:to>
    <xdr:pic>
      <xdr:nvPicPr>
        <xdr:cNvPr id="100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66675</xdr:colOff>
      <xdr:row>22</xdr:row>
      <xdr:rowOff>9525</xdr:rowOff>
    </xdr:to>
    <xdr:pic>
      <xdr:nvPicPr>
        <xdr:cNvPr id="101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66675</xdr:colOff>
      <xdr:row>22</xdr:row>
      <xdr:rowOff>9525</xdr:rowOff>
    </xdr:to>
    <xdr:pic>
      <xdr:nvPicPr>
        <xdr:cNvPr id="102" name="Picture 422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66675</xdr:colOff>
      <xdr:row>22</xdr:row>
      <xdr:rowOff>9525</xdr:rowOff>
    </xdr:to>
    <xdr:pic>
      <xdr:nvPicPr>
        <xdr:cNvPr id="103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66675</xdr:colOff>
      <xdr:row>22</xdr:row>
      <xdr:rowOff>9525</xdr:rowOff>
    </xdr:to>
    <xdr:pic>
      <xdr:nvPicPr>
        <xdr:cNvPr id="104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66675</xdr:colOff>
      <xdr:row>22</xdr:row>
      <xdr:rowOff>9525</xdr:rowOff>
    </xdr:to>
    <xdr:pic>
      <xdr:nvPicPr>
        <xdr:cNvPr id="105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66675</xdr:colOff>
      <xdr:row>22</xdr:row>
      <xdr:rowOff>9525</xdr:rowOff>
    </xdr:to>
    <xdr:pic>
      <xdr:nvPicPr>
        <xdr:cNvPr id="106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66675</xdr:colOff>
      <xdr:row>22</xdr:row>
      <xdr:rowOff>9525</xdr:rowOff>
    </xdr:to>
    <xdr:pic>
      <xdr:nvPicPr>
        <xdr:cNvPr id="107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66675</xdr:colOff>
      <xdr:row>22</xdr:row>
      <xdr:rowOff>9525</xdr:rowOff>
    </xdr:to>
    <xdr:pic>
      <xdr:nvPicPr>
        <xdr:cNvPr id="108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66675</xdr:colOff>
      <xdr:row>22</xdr:row>
      <xdr:rowOff>9525</xdr:rowOff>
    </xdr:to>
    <xdr:pic>
      <xdr:nvPicPr>
        <xdr:cNvPr id="109" name="Picture 422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5286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66675</xdr:colOff>
      <xdr:row>12</xdr:row>
      <xdr:rowOff>19050</xdr:rowOff>
    </xdr:to>
    <xdr:pic>
      <xdr:nvPicPr>
        <xdr:cNvPr id="110" name="Picture 546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5336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47</xdr:row>
      <xdr:rowOff>171450</xdr:rowOff>
    </xdr:from>
    <xdr:to>
      <xdr:col>16</xdr:col>
      <xdr:colOff>276225</xdr:colOff>
      <xdr:row>47</xdr:row>
      <xdr:rowOff>171450</xdr:rowOff>
    </xdr:to>
    <xdr:pic>
      <xdr:nvPicPr>
        <xdr:cNvPr id="111" name="Picture 420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11115675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47</xdr:row>
      <xdr:rowOff>104775</xdr:rowOff>
    </xdr:from>
    <xdr:to>
      <xdr:col>1</xdr:col>
      <xdr:colOff>104775</xdr:colOff>
      <xdr:row>47</xdr:row>
      <xdr:rowOff>104775</xdr:rowOff>
    </xdr:to>
    <xdr:pic>
      <xdr:nvPicPr>
        <xdr:cNvPr id="112" name="Picture 420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04900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47</xdr:row>
      <xdr:rowOff>104775</xdr:rowOff>
    </xdr:from>
    <xdr:to>
      <xdr:col>1</xdr:col>
      <xdr:colOff>104775</xdr:colOff>
      <xdr:row>47</xdr:row>
      <xdr:rowOff>104775</xdr:rowOff>
    </xdr:to>
    <xdr:pic>
      <xdr:nvPicPr>
        <xdr:cNvPr id="113" name="Picture 420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04900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50</xdr:row>
      <xdr:rowOff>257175</xdr:rowOff>
    </xdr:from>
    <xdr:to>
      <xdr:col>3</xdr:col>
      <xdr:colOff>9525</xdr:colOff>
      <xdr:row>50</xdr:row>
      <xdr:rowOff>257175</xdr:rowOff>
    </xdr:to>
    <xdr:pic>
      <xdr:nvPicPr>
        <xdr:cNvPr id="114" name="Picture 420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2334875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51</xdr:row>
      <xdr:rowOff>104775</xdr:rowOff>
    </xdr:from>
    <xdr:to>
      <xdr:col>1</xdr:col>
      <xdr:colOff>104775</xdr:colOff>
      <xdr:row>51</xdr:row>
      <xdr:rowOff>104775</xdr:rowOff>
    </xdr:to>
    <xdr:pic>
      <xdr:nvPicPr>
        <xdr:cNvPr id="115" name="Picture 420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26682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53</xdr:row>
      <xdr:rowOff>161925</xdr:rowOff>
    </xdr:from>
    <xdr:to>
      <xdr:col>3</xdr:col>
      <xdr:colOff>9525</xdr:colOff>
      <xdr:row>53</xdr:row>
      <xdr:rowOff>171450</xdr:rowOff>
    </xdr:to>
    <xdr:pic>
      <xdr:nvPicPr>
        <xdr:cNvPr id="116" name="Picture 420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3211175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66675</xdr:colOff>
      <xdr:row>12</xdr:row>
      <xdr:rowOff>19050</xdr:rowOff>
    </xdr:to>
    <xdr:pic>
      <xdr:nvPicPr>
        <xdr:cNvPr id="117" name="Picture 546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25336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66675</xdr:colOff>
      <xdr:row>10</xdr:row>
      <xdr:rowOff>9525</xdr:rowOff>
    </xdr:to>
    <xdr:pic>
      <xdr:nvPicPr>
        <xdr:cNvPr id="118" name="Picture 546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2209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66675</xdr:colOff>
      <xdr:row>10</xdr:row>
      <xdr:rowOff>9525</xdr:rowOff>
    </xdr:to>
    <xdr:pic>
      <xdr:nvPicPr>
        <xdr:cNvPr id="119" name="Picture 546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22098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9525</xdr:rowOff>
    </xdr:to>
    <xdr:pic>
      <xdr:nvPicPr>
        <xdr:cNvPr id="120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096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9525</xdr:rowOff>
    </xdr:to>
    <xdr:pic>
      <xdr:nvPicPr>
        <xdr:cNvPr id="121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096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9525</xdr:rowOff>
    </xdr:to>
    <xdr:pic>
      <xdr:nvPicPr>
        <xdr:cNvPr id="122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096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9525</xdr:rowOff>
    </xdr:to>
    <xdr:pic>
      <xdr:nvPicPr>
        <xdr:cNvPr id="123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096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9525</xdr:rowOff>
    </xdr:to>
    <xdr:pic>
      <xdr:nvPicPr>
        <xdr:cNvPr id="124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096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9525</xdr:rowOff>
    </xdr:to>
    <xdr:pic>
      <xdr:nvPicPr>
        <xdr:cNvPr id="125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096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9525</xdr:rowOff>
    </xdr:to>
    <xdr:pic>
      <xdr:nvPicPr>
        <xdr:cNvPr id="126" name="Picture 422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096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9525</xdr:rowOff>
    </xdr:to>
    <xdr:pic>
      <xdr:nvPicPr>
        <xdr:cNvPr id="127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096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9525</xdr:rowOff>
    </xdr:to>
    <xdr:pic>
      <xdr:nvPicPr>
        <xdr:cNvPr id="128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096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9525</xdr:rowOff>
    </xdr:to>
    <xdr:pic>
      <xdr:nvPicPr>
        <xdr:cNvPr id="129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096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9525</xdr:rowOff>
    </xdr:to>
    <xdr:pic>
      <xdr:nvPicPr>
        <xdr:cNvPr id="130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096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9525</xdr:rowOff>
    </xdr:to>
    <xdr:pic>
      <xdr:nvPicPr>
        <xdr:cNvPr id="131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096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9525</xdr:rowOff>
    </xdr:to>
    <xdr:pic>
      <xdr:nvPicPr>
        <xdr:cNvPr id="132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096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9525</xdr:rowOff>
    </xdr:to>
    <xdr:pic>
      <xdr:nvPicPr>
        <xdr:cNvPr id="133" name="Picture 422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096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66675</xdr:colOff>
      <xdr:row>19</xdr:row>
      <xdr:rowOff>9525</xdr:rowOff>
    </xdr:to>
    <xdr:pic>
      <xdr:nvPicPr>
        <xdr:cNvPr id="134" name="Picture 688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431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66675</xdr:colOff>
      <xdr:row>19</xdr:row>
      <xdr:rowOff>9525</xdr:rowOff>
    </xdr:to>
    <xdr:pic>
      <xdr:nvPicPr>
        <xdr:cNvPr id="135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431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66675</xdr:colOff>
      <xdr:row>19</xdr:row>
      <xdr:rowOff>9525</xdr:rowOff>
    </xdr:to>
    <xdr:pic>
      <xdr:nvPicPr>
        <xdr:cNvPr id="136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431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66675</xdr:colOff>
      <xdr:row>19</xdr:row>
      <xdr:rowOff>9525</xdr:rowOff>
    </xdr:to>
    <xdr:pic>
      <xdr:nvPicPr>
        <xdr:cNvPr id="137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431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66675</xdr:colOff>
      <xdr:row>19</xdr:row>
      <xdr:rowOff>9525</xdr:rowOff>
    </xdr:to>
    <xdr:pic>
      <xdr:nvPicPr>
        <xdr:cNvPr id="138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431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66675</xdr:colOff>
      <xdr:row>19</xdr:row>
      <xdr:rowOff>9525</xdr:rowOff>
    </xdr:to>
    <xdr:pic>
      <xdr:nvPicPr>
        <xdr:cNvPr id="139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431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66675</xdr:colOff>
      <xdr:row>19</xdr:row>
      <xdr:rowOff>9525</xdr:rowOff>
    </xdr:to>
    <xdr:pic>
      <xdr:nvPicPr>
        <xdr:cNvPr id="140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431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66675</xdr:colOff>
      <xdr:row>19</xdr:row>
      <xdr:rowOff>9525</xdr:rowOff>
    </xdr:to>
    <xdr:pic>
      <xdr:nvPicPr>
        <xdr:cNvPr id="141" name="Picture 422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431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66675</xdr:colOff>
      <xdr:row>20</xdr:row>
      <xdr:rowOff>9525</xdr:rowOff>
    </xdr:to>
    <xdr:pic>
      <xdr:nvPicPr>
        <xdr:cNvPr id="142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4638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66675</xdr:colOff>
      <xdr:row>20</xdr:row>
      <xdr:rowOff>9525</xdr:rowOff>
    </xdr:to>
    <xdr:pic>
      <xdr:nvPicPr>
        <xdr:cNvPr id="143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4638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66675</xdr:colOff>
      <xdr:row>20</xdr:row>
      <xdr:rowOff>9525</xdr:rowOff>
    </xdr:to>
    <xdr:pic>
      <xdr:nvPicPr>
        <xdr:cNvPr id="144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4638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66675</xdr:colOff>
      <xdr:row>20</xdr:row>
      <xdr:rowOff>9525</xdr:rowOff>
    </xdr:to>
    <xdr:pic>
      <xdr:nvPicPr>
        <xdr:cNvPr id="145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4638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66675</xdr:colOff>
      <xdr:row>20</xdr:row>
      <xdr:rowOff>9525</xdr:rowOff>
    </xdr:to>
    <xdr:pic>
      <xdr:nvPicPr>
        <xdr:cNvPr id="146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4638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66675</xdr:colOff>
      <xdr:row>20</xdr:row>
      <xdr:rowOff>9525</xdr:rowOff>
    </xdr:to>
    <xdr:pic>
      <xdr:nvPicPr>
        <xdr:cNvPr id="147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4638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66675</xdr:colOff>
      <xdr:row>20</xdr:row>
      <xdr:rowOff>9525</xdr:rowOff>
    </xdr:to>
    <xdr:pic>
      <xdr:nvPicPr>
        <xdr:cNvPr id="148" name="Picture 422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4638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9525</xdr:rowOff>
    </xdr:to>
    <xdr:pic>
      <xdr:nvPicPr>
        <xdr:cNvPr id="149" name="Picture 688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4638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9525</xdr:rowOff>
    </xdr:to>
    <xdr:pic>
      <xdr:nvPicPr>
        <xdr:cNvPr id="150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4638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9525</xdr:rowOff>
    </xdr:to>
    <xdr:pic>
      <xdr:nvPicPr>
        <xdr:cNvPr id="151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4638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9525</xdr:rowOff>
    </xdr:to>
    <xdr:pic>
      <xdr:nvPicPr>
        <xdr:cNvPr id="152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4638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9525</xdr:rowOff>
    </xdr:to>
    <xdr:pic>
      <xdr:nvPicPr>
        <xdr:cNvPr id="153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4638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9525</xdr:rowOff>
    </xdr:to>
    <xdr:pic>
      <xdr:nvPicPr>
        <xdr:cNvPr id="154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4638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9525</xdr:rowOff>
    </xdr:to>
    <xdr:pic>
      <xdr:nvPicPr>
        <xdr:cNvPr id="155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4638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9525</xdr:rowOff>
    </xdr:to>
    <xdr:pic>
      <xdr:nvPicPr>
        <xdr:cNvPr id="156" name="Picture 422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4638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9525</xdr:rowOff>
    </xdr:to>
    <xdr:pic>
      <xdr:nvPicPr>
        <xdr:cNvPr id="157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431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9525</xdr:rowOff>
    </xdr:to>
    <xdr:pic>
      <xdr:nvPicPr>
        <xdr:cNvPr id="158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431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9525</xdr:rowOff>
    </xdr:to>
    <xdr:pic>
      <xdr:nvPicPr>
        <xdr:cNvPr id="159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431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9525</xdr:rowOff>
    </xdr:to>
    <xdr:pic>
      <xdr:nvPicPr>
        <xdr:cNvPr id="160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431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9525</xdr:rowOff>
    </xdr:to>
    <xdr:pic>
      <xdr:nvPicPr>
        <xdr:cNvPr id="161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431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9525</xdr:rowOff>
    </xdr:to>
    <xdr:pic>
      <xdr:nvPicPr>
        <xdr:cNvPr id="162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431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9525</xdr:rowOff>
    </xdr:to>
    <xdr:pic>
      <xdr:nvPicPr>
        <xdr:cNvPr id="163" name="Picture 422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431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66675</xdr:colOff>
      <xdr:row>24</xdr:row>
      <xdr:rowOff>9525</xdr:rowOff>
    </xdr:to>
    <xdr:pic>
      <xdr:nvPicPr>
        <xdr:cNvPr id="164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096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66675</xdr:colOff>
      <xdr:row>24</xdr:row>
      <xdr:rowOff>9525</xdr:rowOff>
    </xdr:to>
    <xdr:pic>
      <xdr:nvPicPr>
        <xdr:cNvPr id="165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096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66675</xdr:colOff>
      <xdr:row>24</xdr:row>
      <xdr:rowOff>9525</xdr:rowOff>
    </xdr:to>
    <xdr:pic>
      <xdr:nvPicPr>
        <xdr:cNvPr id="166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096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66675</xdr:colOff>
      <xdr:row>24</xdr:row>
      <xdr:rowOff>9525</xdr:rowOff>
    </xdr:to>
    <xdr:pic>
      <xdr:nvPicPr>
        <xdr:cNvPr id="167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096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66675</xdr:colOff>
      <xdr:row>24</xdr:row>
      <xdr:rowOff>9525</xdr:rowOff>
    </xdr:to>
    <xdr:pic>
      <xdr:nvPicPr>
        <xdr:cNvPr id="168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096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66675</xdr:colOff>
      <xdr:row>24</xdr:row>
      <xdr:rowOff>9525</xdr:rowOff>
    </xdr:to>
    <xdr:pic>
      <xdr:nvPicPr>
        <xdr:cNvPr id="169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096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66675</xdr:colOff>
      <xdr:row>24</xdr:row>
      <xdr:rowOff>9525</xdr:rowOff>
    </xdr:to>
    <xdr:pic>
      <xdr:nvPicPr>
        <xdr:cNvPr id="170" name="Picture 422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096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9525</xdr:rowOff>
    </xdr:to>
    <xdr:pic>
      <xdr:nvPicPr>
        <xdr:cNvPr id="171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9525</xdr:rowOff>
    </xdr:to>
    <xdr:pic>
      <xdr:nvPicPr>
        <xdr:cNvPr id="172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9525</xdr:rowOff>
    </xdr:to>
    <xdr:pic>
      <xdr:nvPicPr>
        <xdr:cNvPr id="173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9525</xdr:rowOff>
    </xdr:to>
    <xdr:pic>
      <xdr:nvPicPr>
        <xdr:cNvPr id="174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9525</xdr:rowOff>
    </xdr:to>
    <xdr:pic>
      <xdr:nvPicPr>
        <xdr:cNvPr id="175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9525</xdr:rowOff>
    </xdr:to>
    <xdr:pic>
      <xdr:nvPicPr>
        <xdr:cNvPr id="176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9525</xdr:rowOff>
    </xdr:to>
    <xdr:pic>
      <xdr:nvPicPr>
        <xdr:cNvPr id="177" name="Picture 422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9525</xdr:rowOff>
    </xdr:to>
    <xdr:pic>
      <xdr:nvPicPr>
        <xdr:cNvPr id="178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9525</xdr:rowOff>
    </xdr:to>
    <xdr:pic>
      <xdr:nvPicPr>
        <xdr:cNvPr id="179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9525</xdr:rowOff>
    </xdr:to>
    <xdr:pic>
      <xdr:nvPicPr>
        <xdr:cNvPr id="180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9525</xdr:rowOff>
    </xdr:to>
    <xdr:pic>
      <xdr:nvPicPr>
        <xdr:cNvPr id="181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9525</xdr:rowOff>
    </xdr:to>
    <xdr:pic>
      <xdr:nvPicPr>
        <xdr:cNvPr id="182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9525</xdr:rowOff>
    </xdr:to>
    <xdr:pic>
      <xdr:nvPicPr>
        <xdr:cNvPr id="183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9525</xdr:rowOff>
    </xdr:to>
    <xdr:pic>
      <xdr:nvPicPr>
        <xdr:cNvPr id="184" name="Picture 422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257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66675</xdr:colOff>
      <xdr:row>18</xdr:row>
      <xdr:rowOff>9525</xdr:rowOff>
    </xdr:to>
    <xdr:pic>
      <xdr:nvPicPr>
        <xdr:cNvPr id="185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3990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66675</xdr:colOff>
      <xdr:row>18</xdr:row>
      <xdr:rowOff>9525</xdr:rowOff>
    </xdr:to>
    <xdr:pic>
      <xdr:nvPicPr>
        <xdr:cNvPr id="186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3990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66675</xdr:colOff>
      <xdr:row>18</xdr:row>
      <xdr:rowOff>9525</xdr:rowOff>
    </xdr:to>
    <xdr:pic>
      <xdr:nvPicPr>
        <xdr:cNvPr id="187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3990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66675</xdr:colOff>
      <xdr:row>18</xdr:row>
      <xdr:rowOff>9525</xdr:rowOff>
    </xdr:to>
    <xdr:pic>
      <xdr:nvPicPr>
        <xdr:cNvPr id="188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3990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66675</xdr:colOff>
      <xdr:row>18</xdr:row>
      <xdr:rowOff>9525</xdr:rowOff>
    </xdr:to>
    <xdr:pic>
      <xdr:nvPicPr>
        <xdr:cNvPr id="189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3990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66675</xdr:colOff>
      <xdr:row>18</xdr:row>
      <xdr:rowOff>9525</xdr:rowOff>
    </xdr:to>
    <xdr:pic>
      <xdr:nvPicPr>
        <xdr:cNvPr id="190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3990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66675</xdr:colOff>
      <xdr:row>18</xdr:row>
      <xdr:rowOff>9525</xdr:rowOff>
    </xdr:to>
    <xdr:pic>
      <xdr:nvPicPr>
        <xdr:cNvPr id="191" name="Picture 422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3990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66675</xdr:colOff>
      <xdr:row>21</xdr:row>
      <xdr:rowOff>9525</xdr:rowOff>
    </xdr:to>
    <xdr:pic>
      <xdr:nvPicPr>
        <xdr:cNvPr id="192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4800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66675</xdr:colOff>
      <xdr:row>21</xdr:row>
      <xdr:rowOff>9525</xdr:rowOff>
    </xdr:to>
    <xdr:pic>
      <xdr:nvPicPr>
        <xdr:cNvPr id="193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4800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66675</xdr:colOff>
      <xdr:row>21</xdr:row>
      <xdr:rowOff>9525</xdr:rowOff>
    </xdr:to>
    <xdr:pic>
      <xdr:nvPicPr>
        <xdr:cNvPr id="194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4800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66675</xdr:colOff>
      <xdr:row>21</xdr:row>
      <xdr:rowOff>9525</xdr:rowOff>
    </xdr:to>
    <xdr:pic>
      <xdr:nvPicPr>
        <xdr:cNvPr id="195" name="Picture 95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4800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66675</xdr:colOff>
      <xdr:row>21</xdr:row>
      <xdr:rowOff>9525</xdr:rowOff>
    </xdr:to>
    <xdr:pic>
      <xdr:nvPicPr>
        <xdr:cNvPr id="196" name="Picture 97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4800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66675</xdr:colOff>
      <xdr:row>21</xdr:row>
      <xdr:rowOff>9525</xdr:rowOff>
    </xdr:to>
    <xdr:pic>
      <xdr:nvPicPr>
        <xdr:cNvPr id="197" name="Picture 299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4800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66675</xdr:colOff>
      <xdr:row>21</xdr:row>
      <xdr:rowOff>9525</xdr:rowOff>
    </xdr:to>
    <xdr:pic>
      <xdr:nvPicPr>
        <xdr:cNvPr id="198" name="Picture 422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4800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48</xdr:row>
      <xdr:rowOff>171450</xdr:rowOff>
    </xdr:from>
    <xdr:to>
      <xdr:col>6</xdr:col>
      <xdr:colOff>276225</xdr:colOff>
      <xdr:row>48</xdr:row>
      <xdr:rowOff>171450</xdr:rowOff>
    </xdr:to>
    <xdr:pic>
      <xdr:nvPicPr>
        <xdr:cNvPr id="199" name="Picture 420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1439525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49</xdr:row>
      <xdr:rowOff>171450</xdr:rowOff>
    </xdr:from>
    <xdr:to>
      <xdr:col>6</xdr:col>
      <xdr:colOff>276225</xdr:colOff>
      <xdr:row>49</xdr:row>
      <xdr:rowOff>171450</xdr:rowOff>
    </xdr:to>
    <xdr:pic>
      <xdr:nvPicPr>
        <xdr:cNvPr id="200" name="Picture 420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192530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53</xdr:row>
      <xdr:rowOff>161925</xdr:rowOff>
    </xdr:from>
    <xdr:to>
      <xdr:col>6</xdr:col>
      <xdr:colOff>276225</xdr:colOff>
      <xdr:row>53</xdr:row>
      <xdr:rowOff>171450</xdr:rowOff>
    </xdr:to>
    <xdr:pic>
      <xdr:nvPicPr>
        <xdr:cNvPr id="201" name="Picture 420" descr="http://www.tt-info.net/tt-online/images/pix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3211175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E46" sqref="E46"/>
    </sheetView>
  </sheetViews>
  <sheetFormatPr defaultColWidth="11.421875" defaultRowHeight="12.75"/>
  <cols>
    <col min="1" max="1" width="8.7109375" style="0" customWidth="1"/>
    <col min="3" max="3" width="5.57421875" style="0" customWidth="1"/>
    <col min="4" max="4" width="4.140625" style="0" customWidth="1"/>
  </cols>
  <sheetData>
    <row r="1" spans="1:2" ht="12.75">
      <c r="A1" t="s">
        <v>31</v>
      </c>
      <c r="B1" t="s">
        <v>32</v>
      </c>
    </row>
    <row r="3" spans="1:2" ht="12.75">
      <c r="A3" t="s">
        <v>34</v>
      </c>
      <c r="B3" s="21" t="s">
        <v>114</v>
      </c>
    </row>
    <row r="5" spans="1:5" ht="12.75">
      <c r="A5" t="s">
        <v>28</v>
      </c>
      <c r="E5" t="s">
        <v>30</v>
      </c>
    </row>
    <row r="7" spans="1:5" ht="12.75">
      <c r="A7" t="s">
        <v>29</v>
      </c>
      <c r="E7" t="s">
        <v>29</v>
      </c>
    </row>
    <row r="8" spans="1:7" ht="12.75">
      <c r="A8">
        <v>1</v>
      </c>
      <c r="B8" s="22">
        <v>41526</v>
      </c>
      <c r="C8" t="s">
        <v>9</v>
      </c>
      <c r="E8">
        <v>10</v>
      </c>
      <c r="F8" s="22">
        <v>41645</v>
      </c>
      <c r="G8" t="s">
        <v>9</v>
      </c>
    </row>
    <row r="9" spans="2:7" ht="12.75">
      <c r="B9" s="17">
        <f>B8+1</f>
        <v>41527</v>
      </c>
      <c r="C9" t="s">
        <v>13</v>
      </c>
      <c r="F9" s="17">
        <f>F8+1</f>
        <v>41646</v>
      </c>
      <c r="G9" t="s">
        <v>13</v>
      </c>
    </row>
    <row r="10" spans="2:7" ht="12.75">
      <c r="B10" s="17">
        <f>B8+2</f>
        <v>41528</v>
      </c>
      <c r="C10" t="s">
        <v>12</v>
      </c>
      <c r="F10" s="17">
        <f>F8+2</f>
        <v>41647</v>
      </c>
      <c r="G10" t="s">
        <v>12</v>
      </c>
    </row>
    <row r="11" spans="2:7" ht="12.75">
      <c r="B11" s="17">
        <f>B8+3</f>
        <v>41529</v>
      </c>
      <c r="C11" t="s">
        <v>8</v>
      </c>
      <c r="F11" s="17">
        <f>F8+3</f>
        <v>41648</v>
      </c>
      <c r="G11" t="s">
        <v>8</v>
      </c>
    </row>
    <row r="12" spans="2:7" ht="12.75">
      <c r="B12" s="17">
        <f>B8+4</f>
        <v>41530</v>
      </c>
      <c r="C12" t="s">
        <v>7</v>
      </c>
      <c r="F12" s="17">
        <f>F8+4</f>
        <v>41649</v>
      </c>
      <c r="G12" t="s">
        <v>7</v>
      </c>
    </row>
    <row r="13" spans="1:7" ht="12.75">
      <c r="A13">
        <v>2</v>
      </c>
      <c r="B13" s="22">
        <v>41533</v>
      </c>
      <c r="C13" t="s">
        <v>9</v>
      </c>
      <c r="E13">
        <v>11</v>
      </c>
      <c r="F13" s="22">
        <v>41659</v>
      </c>
      <c r="G13" t="s">
        <v>9</v>
      </c>
    </row>
    <row r="14" spans="2:7" ht="12.75">
      <c r="B14" s="17">
        <f>B13+1</f>
        <v>41534</v>
      </c>
      <c r="C14" t="s">
        <v>13</v>
      </c>
      <c r="F14" s="17">
        <f>F13+1</f>
        <v>41660</v>
      </c>
      <c r="G14" t="s">
        <v>13</v>
      </c>
    </row>
    <row r="15" spans="2:7" ht="12.75">
      <c r="B15" s="17">
        <f>B13+2</f>
        <v>41535</v>
      </c>
      <c r="C15" t="s">
        <v>12</v>
      </c>
      <c r="F15" s="17">
        <f>F13+2</f>
        <v>41661</v>
      </c>
      <c r="G15" t="s">
        <v>12</v>
      </c>
    </row>
    <row r="16" spans="2:7" ht="12.75">
      <c r="B16" s="17">
        <f>B13+3</f>
        <v>41536</v>
      </c>
      <c r="C16" t="s">
        <v>8</v>
      </c>
      <c r="F16" s="17">
        <f>F13+3</f>
        <v>41662</v>
      </c>
      <c r="G16" t="s">
        <v>8</v>
      </c>
    </row>
    <row r="17" spans="2:7" ht="12.75">
      <c r="B17" s="17">
        <f>B13+4</f>
        <v>41537</v>
      </c>
      <c r="C17" t="s">
        <v>7</v>
      </c>
      <c r="F17" s="17">
        <f>F13+4</f>
        <v>41663</v>
      </c>
      <c r="G17" t="s">
        <v>7</v>
      </c>
    </row>
    <row r="18" spans="1:7" ht="12.75">
      <c r="A18">
        <v>3</v>
      </c>
      <c r="B18" s="22">
        <v>41540</v>
      </c>
      <c r="C18" t="s">
        <v>9</v>
      </c>
      <c r="E18">
        <v>12</v>
      </c>
      <c r="F18" s="22">
        <v>41666</v>
      </c>
      <c r="G18" t="s">
        <v>9</v>
      </c>
    </row>
    <row r="19" spans="2:7" ht="12.75">
      <c r="B19" s="17">
        <f>B18+1</f>
        <v>41541</v>
      </c>
      <c r="C19" t="s">
        <v>13</v>
      </c>
      <c r="F19" s="17">
        <f>F18+1</f>
        <v>41667</v>
      </c>
      <c r="G19" t="s">
        <v>13</v>
      </c>
    </row>
    <row r="20" spans="2:7" ht="12.75">
      <c r="B20" s="17">
        <f>B18+2</f>
        <v>41542</v>
      </c>
      <c r="C20" t="s">
        <v>12</v>
      </c>
      <c r="F20" s="17">
        <f>F18+2</f>
        <v>41668</v>
      </c>
      <c r="G20" t="s">
        <v>12</v>
      </c>
    </row>
    <row r="21" spans="2:7" ht="12.75">
      <c r="B21" s="17">
        <f>B18+3</f>
        <v>41543</v>
      </c>
      <c r="C21" t="s">
        <v>8</v>
      </c>
      <c r="F21" s="17">
        <f>F18+3</f>
        <v>41669</v>
      </c>
      <c r="G21" t="s">
        <v>8</v>
      </c>
    </row>
    <row r="22" spans="2:7" ht="12.75">
      <c r="B22" s="17">
        <f>B18+4</f>
        <v>41544</v>
      </c>
      <c r="C22" t="s">
        <v>7</v>
      </c>
      <c r="F22" s="17">
        <f>F18+4</f>
        <v>41670</v>
      </c>
      <c r="G22" t="s">
        <v>7</v>
      </c>
    </row>
    <row r="23" spans="1:7" ht="12.75">
      <c r="A23">
        <v>4</v>
      </c>
      <c r="B23" s="22">
        <v>41554</v>
      </c>
      <c r="C23" t="s">
        <v>9</v>
      </c>
      <c r="E23">
        <v>13</v>
      </c>
      <c r="F23" s="22">
        <v>41673</v>
      </c>
      <c r="G23" t="s">
        <v>9</v>
      </c>
    </row>
    <row r="24" spans="2:7" ht="12.75">
      <c r="B24" s="17">
        <f>B23+1</f>
        <v>41555</v>
      </c>
      <c r="C24" t="s">
        <v>13</v>
      </c>
      <c r="F24" s="17">
        <f>F23+1</f>
        <v>41674</v>
      </c>
      <c r="G24" t="s">
        <v>13</v>
      </c>
    </row>
    <row r="25" spans="2:7" ht="12.75">
      <c r="B25" s="17">
        <f>B23+2</f>
        <v>41556</v>
      </c>
      <c r="C25" t="s">
        <v>12</v>
      </c>
      <c r="F25" s="17">
        <f>F23+2</f>
        <v>41675</v>
      </c>
      <c r="G25" t="s">
        <v>12</v>
      </c>
    </row>
    <row r="26" spans="2:7" ht="12.75">
      <c r="B26" s="17">
        <f>B23+3</f>
        <v>41557</v>
      </c>
      <c r="C26" t="s">
        <v>8</v>
      </c>
      <c r="F26" s="17">
        <f>F23+3</f>
        <v>41676</v>
      </c>
      <c r="G26" t="s">
        <v>8</v>
      </c>
    </row>
    <row r="27" spans="2:7" ht="12.75">
      <c r="B27" s="17">
        <f>B23+4</f>
        <v>41558</v>
      </c>
      <c r="C27" t="s">
        <v>7</v>
      </c>
      <c r="F27" s="17">
        <f>F23+4</f>
        <v>41677</v>
      </c>
      <c r="G27" t="s">
        <v>7</v>
      </c>
    </row>
    <row r="28" spans="1:7" ht="12.75">
      <c r="A28">
        <v>5</v>
      </c>
      <c r="B28" s="22">
        <v>41561</v>
      </c>
      <c r="C28" t="s">
        <v>9</v>
      </c>
      <c r="E28">
        <v>14</v>
      </c>
      <c r="F28" s="22">
        <v>41680</v>
      </c>
      <c r="G28" t="s">
        <v>9</v>
      </c>
    </row>
    <row r="29" spans="2:7" ht="12.75">
      <c r="B29" s="17">
        <f>B28+1</f>
        <v>41562</v>
      </c>
      <c r="C29" t="s">
        <v>13</v>
      </c>
      <c r="F29" s="17">
        <f>F28+1</f>
        <v>41681</v>
      </c>
      <c r="G29" t="s">
        <v>13</v>
      </c>
    </row>
    <row r="30" spans="2:7" ht="12.75">
      <c r="B30" s="17">
        <f>B28+2</f>
        <v>41563</v>
      </c>
      <c r="C30" t="s">
        <v>12</v>
      </c>
      <c r="F30" s="17">
        <f>F28+2</f>
        <v>41682</v>
      </c>
      <c r="G30" t="s">
        <v>12</v>
      </c>
    </row>
    <row r="31" spans="2:7" ht="12.75">
      <c r="B31" s="17">
        <f>B28+3</f>
        <v>41564</v>
      </c>
      <c r="C31" t="s">
        <v>8</v>
      </c>
      <c r="F31" s="17">
        <f>F28+3</f>
        <v>41683</v>
      </c>
      <c r="G31" t="s">
        <v>8</v>
      </c>
    </row>
    <row r="32" spans="2:7" ht="12.75">
      <c r="B32" s="17">
        <f>B28+4</f>
        <v>41565</v>
      </c>
      <c r="C32" t="s">
        <v>7</v>
      </c>
      <c r="F32" s="17">
        <f>F28+4</f>
        <v>41684</v>
      </c>
      <c r="G32" t="s">
        <v>7</v>
      </c>
    </row>
    <row r="33" spans="1:7" ht="12.75">
      <c r="A33">
        <v>6</v>
      </c>
      <c r="B33" s="22">
        <v>41582</v>
      </c>
      <c r="C33" t="s">
        <v>9</v>
      </c>
      <c r="E33">
        <v>15</v>
      </c>
      <c r="F33" s="22">
        <v>41687</v>
      </c>
      <c r="G33" t="s">
        <v>9</v>
      </c>
    </row>
    <row r="34" spans="2:7" ht="12.75">
      <c r="B34" s="17">
        <f>B33+1</f>
        <v>41583</v>
      </c>
      <c r="C34" t="s">
        <v>13</v>
      </c>
      <c r="F34" s="17">
        <f>F33+1</f>
        <v>41688</v>
      </c>
      <c r="G34" t="s">
        <v>13</v>
      </c>
    </row>
    <row r="35" spans="2:7" ht="12.75">
      <c r="B35" s="17">
        <f>B33+2</f>
        <v>41584</v>
      </c>
      <c r="C35" t="s">
        <v>12</v>
      </c>
      <c r="F35" s="17">
        <f>F33+2</f>
        <v>41689</v>
      </c>
      <c r="G35" t="s">
        <v>12</v>
      </c>
    </row>
    <row r="36" spans="2:7" ht="12.75">
      <c r="B36" s="17">
        <f>B33+3</f>
        <v>41585</v>
      </c>
      <c r="C36" t="s">
        <v>8</v>
      </c>
      <c r="F36" s="17">
        <f>F33+3</f>
        <v>41690</v>
      </c>
      <c r="G36" t="s">
        <v>8</v>
      </c>
    </row>
    <row r="37" spans="2:7" ht="12.75">
      <c r="B37" s="17">
        <f>B33+4</f>
        <v>41586</v>
      </c>
      <c r="C37" t="s">
        <v>7</v>
      </c>
      <c r="F37" s="17">
        <f>F33+4</f>
        <v>41691</v>
      </c>
      <c r="G37" t="s">
        <v>7</v>
      </c>
    </row>
    <row r="38" spans="1:7" ht="12.75">
      <c r="A38">
        <v>7</v>
      </c>
      <c r="B38" s="22">
        <v>41589</v>
      </c>
      <c r="C38" t="s">
        <v>9</v>
      </c>
      <c r="E38">
        <v>16</v>
      </c>
      <c r="F38" s="22">
        <v>41708</v>
      </c>
      <c r="G38" t="s">
        <v>9</v>
      </c>
    </row>
    <row r="39" spans="2:7" ht="12.75">
      <c r="B39" s="17">
        <f>B38+1</f>
        <v>41590</v>
      </c>
      <c r="C39" t="s">
        <v>13</v>
      </c>
      <c r="F39" s="17">
        <f>F38+1</f>
        <v>41709</v>
      </c>
      <c r="G39" t="s">
        <v>13</v>
      </c>
    </row>
    <row r="40" spans="2:7" ht="12.75">
      <c r="B40" s="17">
        <f>B38+2</f>
        <v>41591</v>
      </c>
      <c r="C40" t="s">
        <v>12</v>
      </c>
      <c r="F40" s="17">
        <f>F38+2</f>
        <v>41710</v>
      </c>
      <c r="G40" t="s">
        <v>12</v>
      </c>
    </row>
    <row r="41" spans="2:7" ht="12.75">
      <c r="B41" s="17">
        <f>B38+3</f>
        <v>41592</v>
      </c>
      <c r="C41" t="s">
        <v>8</v>
      </c>
      <c r="F41" s="17">
        <f>F38+3</f>
        <v>41711</v>
      </c>
      <c r="G41" t="s">
        <v>8</v>
      </c>
    </row>
    <row r="42" spans="2:7" ht="12.75">
      <c r="B42" s="17">
        <f>B38+4</f>
        <v>41593</v>
      </c>
      <c r="C42" t="s">
        <v>7</v>
      </c>
      <c r="F42" s="17">
        <f>F38+4</f>
        <v>41712</v>
      </c>
      <c r="G42" t="s">
        <v>7</v>
      </c>
    </row>
    <row r="43" spans="1:7" ht="12.75">
      <c r="A43">
        <v>8</v>
      </c>
      <c r="B43" s="22">
        <v>40872</v>
      </c>
      <c r="C43" t="s">
        <v>9</v>
      </c>
      <c r="E43">
        <v>17</v>
      </c>
      <c r="F43" s="22">
        <v>41722</v>
      </c>
      <c r="G43" t="s">
        <v>9</v>
      </c>
    </row>
    <row r="44" spans="2:7" ht="12.75">
      <c r="B44" s="17">
        <f>B43+1</f>
        <v>40873</v>
      </c>
      <c r="C44" t="s">
        <v>13</v>
      </c>
      <c r="F44" s="17">
        <f>F43+1</f>
        <v>41723</v>
      </c>
      <c r="G44" t="s">
        <v>13</v>
      </c>
    </row>
    <row r="45" spans="2:7" ht="12.75">
      <c r="B45" s="17">
        <f>B43+2</f>
        <v>40874</v>
      </c>
      <c r="C45" t="s">
        <v>12</v>
      </c>
      <c r="F45" s="17">
        <f>F43+2</f>
        <v>41724</v>
      </c>
      <c r="G45" t="s">
        <v>12</v>
      </c>
    </row>
    <row r="46" spans="2:7" ht="12.75">
      <c r="B46" s="17">
        <f>B43+3</f>
        <v>40875</v>
      </c>
      <c r="C46" t="s">
        <v>8</v>
      </c>
      <c r="F46" s="17">
        <f>F43+3</f>
        <v>41725</v>
      </c>
      <c r="G46" t="s">
        <v>8</v>
      </c>
    </row>
    <row r="47" spans="2:7" ht="12.75">
      <c r="B47" s="17">
        <f>B43+4</f>
        <v>40876</v>
      </c>
      <c r="C47" t="s">
        <v>7</v>
      </c>
      <c r="F47" s="17">
        <f>F43+4</f>
        <v>41726</v>
      </c>
      <c r="G47" t="s">
        <v>7</v>
      </c>
    </row>
    <row r="48" spans="1:7" ht="12.75">
      <c r="A48">
        <v>9</v>
      </c>
      <c r="B48" s="22">
        <v>41610</v>
      </c>
      <c r="C48" t="s">
        <v>9</v>
      </c>
      <c r="E48">
        <v>18</v>
      </c>
      <c r="F48" s="22">
        <v>41729</v>
      </c>
      <c r="G48" t="s">
        <v>9</v>
      </c>
    </row>
    <row r="49" spans="2:7" ht="12.75">
      <c r="B49" s="17">
        <f>B48+1</f>
        <v>41611</v>
      </c>
      <c r="C49" t="s">
        <v>13</v>
      </c>
      <c r="F49" s="17">
        <f>F48+1</f>
        <v>41730</v>
      </c>
      <c r="G49" t="s">
        <v>13</v>
      </c>
    </row>
    <row r="50" spans="2:7" ht="12.75">
      <c r="B50" s="17">
        <f>B48+2</f>
        <v>41612</v>
      </c>
      <c r="C50" t="s">
        <v>12</v>
      </c>
      <c r="F50" s="17">
        <f>F48+2</f>
        <v>41731</v>
      </c>
      <c r="G50" t="s">
        <v>12</v>
      </c>
    </row>
    <row r="51" spans="2:7" ht="12.75">
      <c r="B51" s="17">
        <f>B48+3</f>
        <v>41613</v>
      </c>
      <c r="C51" t="s">
        <v>8</v>
      </c>
      <c r="F51" s="17">
        <f>F48+3</f>
        <v>41732</v>
      </c>
      <c r="G51" t="s">
        <v>8</v>
      </c>
    </row>
    <row r="52" spans="2:7" ht="12.75">
      <c r="B52" s="17">
        <f>B48+4</f>
        <v>41614</v>
      </c>
      <c r="C52" t="s">
        <v>7</v>
      </c>
      <c r="F52" s="17">
        <f>F48+4</f>
        <v>41733</v>
      </c>
      <c r="G52" t="s">
        <v>7</v>
      </c>
    </row>
    <row r="53" spans="1:7" ht="12.75" hidden="1">
      <c r="A53">
        <v>10</v>
      </c>
      <c r="B53" s="22">
        <v>41603</v>
      </c>
      <c r="C53" t="s">
        <v>9</v>
      </c>
      <c r="E53">
        <v>21</v>
      </c>
      <c r="F53" s="22">
        <v>41722</v>
      </c>
      <c r="G53" t="s">
        <v>9</v>
      </c>
    </row>
    <row r="54" spans="2:7" ht="12.75" hidden="1">
      <c r="B54" s="17">
        <f>B53+1</f>
        <v>41604</v>
      </c>
      <c r="C54" t="s">
        <v>13</v>
      </c>
      <c r="F54" s="17">
        <f>F53+1</f>
        <v>41723</v>
      </c>
      <c r="G54" t="s">
        <v>13</v>
      </c>
    </row>
    <row r="55" spans="2:7" ht="12.75" hidden="1">
      <c r="B55" s="17">
        <f>B53+2</f>
        <v>41605</v>
      </c>
      <c r="C55" t="s">
        <v>12</v>
      </c>
      <c r="F55" s="17">
        <f>F53+2</f>
        <v>41724</v>
      </c>
      <c r="G55" t="s">
        <v>12</v>
      </c>
    </row>
    <row r="56" spans="2:7" ht="12.75" hidden="1">
      <c r="B56" s="17">
        <f>B53+3</f>
        <v>41606</v>
      </c>
      <c r="C56" t="s">
        <v>8</v>
      </c>
      <c r="F56" s="17">
        <f>F53+3</f>
        <v>41725</v>
      </c>
      <c r="G56" t="s">
        <v>8</v>
      </c>
    </row>
    <row r="57" spans="2:7" ht="12.75" hidden="1">
      <c r="B57" s="17">
        <f>B53+4</f>
        <v>41607</v>
      </c>
      <c r="C57" t="s">
        <v>7</v>
      </c>
      <c r="F57" s="17">
        <f>F53+4</f>
        <v>41726</v>
      </c>
      <c r="G57" t="s">
        <v>7</v>
      </c>
    </row>
    <row r="58" spans="1:7" ht="12.75" hidden="1">
      <c r="A58">
        <v>11</v>
      </c>
      <c r="B58" s="22">
        <v>41610</v>
      </c>
      <c r="C58" t="s">
        <v>9</v>
      </c>
      <c r="E58">
        <v>22</v>
      </c>
      <c r="F58" s="22">
        <v>41729</v>
      </c>
      <c r="G58" t="s">
        <v>9</v>
      </c>
    </row>
    <row r="59" spans="2:7" ht="12.75" hidden="1">
      <c r="B59" s="17">
        <f>B58+1</f>
        <v>41611</v>
      </c>
      <c r="C59" t="s">
        <v>13</v>
      </c>
      <c r="F59" s="17">
        <f>F58+1</f>
        <v>41730</v>
      </c>
      <c r="G59" t="s">
        <v>13</v>
      </c>
    </row>
    <row r="60" spans="2:7" ht="12.75" hidden="1">
      <c r="B60" s="17">
        <f>B58+2</f>
        <v>41612</v>
      </c>
      <c r="C60" t="s">
        <v>12</v>
      </c>
      <c r="F60" s="17">
        <f>F58+2</f>
        <v>41731</v>
      </c>
      <c r="G60" t="s">
        <v>12</v>
      </c>
    </row>
    <row r="61" spans="2:7" ht="12.75" hidden="1">
      <c r="B61" s="17">
        <f>B58+3</f>
        <v>41613</v>
      </c>
      <c r="C61" t="s">
        <v>8</v>
      </c>
      <c r="F61" s="17">
        <f>F58+3</f>
        <v>41732</v>
      </c>
      <c r="G61" t="s">
        <v>8</v>
      </c>
    </row>
    <row r="62" spans="2:7" ht="12.75" hidden="1">
      <c r="B62" s="17">
        <f>B58+4</f>
        <v>41614</v>
      </c>
      <c r="C62" t="s">
        <v>7</v>
      </c>
      <c r="F62" s="17">
        <f>F58+4</f>
        <v>41733</v>
      </c>
      <c r="G62" t="s">
        <v>7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2" sqref="A2"/>
    </sheetView>
  </sheetViews>
  <sheetFormatPr defaultColWidth="11.421875" defaultRowHeight="12.75"/>
  <cols>
    <col min="1" max="1" width="10.28125" style="0" customWidth="1"/>
    <col min="2" max="2" width="3.7109375" style="0" customWidth="1"/>
    <col min="3" max="3" width="5.7109375" style="0" customWidth="1"/>
    <col min="4" max="4" width="21.7109375" style="0" customWidth="1"/>
    <col min="5" max="5" width="1.7109375" style="0" customWidth="1"/>
    <col min="6" max="6" width="21.7109375" style="0" customWidth="1"/>
    <col min="7" max="7" width="10.28125" style="0" customWidth="1"/>
    <col min="8" max="8" width="3.7109375" style="0" customWidth="1"/>
    <col min="9" max="9" width="5.7109375" style="0" customWidth="1"/>
  </cols>
  <sheetData>
    <row r="1" spans="1:9" ht="12.75">
      <c r="A1" s="1" t="s">
        <v>31</v>
      </c>
      <c r="I1" s="20" t="s">
        <v>32</v>
      </c>
    </row>
    <row r="2" ht="15.75">
      <c r="D2" s="4" t="s">
        <v>16</v>
      </c>
    </row>
    <row r="4" spans="1:4" ht="15.75">
      <c r="A4" s="4" t="s">
        <v>33</v>
      </c>
      <c r="D4" s="1" t="str">
        <f>Spieltage!A3&amp;" "&amp;Spieltage!B3</f>
        <v>Saison 2013/2014</v>
      </c>
    </row>
    <row r="6" spans="1:7" ht="12.75">
      <c r="A6" s="1" t="s">
        <v>28</v>
      </c>
      <c r="G6" s="1" t="s">
        <v>30</v>
      </c>
    </row>
    <row r="8" spans="1:9" ht="12.75">
      <c r="A8" s="17">
        <f>IF(B8="Mo",Spieltage!$B$8,IF(B8="Di",Spieltage!$B$9,IF(B8="Mi",Spieltage!$B$10,IF(B8="Do",Spieltage!$B$11,IF(B8="Fr",Spieltage!$B$12,"")))))</f>
        <v>41528</v>
      </c>
      <c r="B8" t="str">
        <f>VLOOKUP(1,Klwest,3,FALSE)</f>
        <v>Mi</v>
      </c>
      <c r="C8" s="19">
        <f>VLOOKUP(1,Klwest,4,FALSE)</f>
        <v>0.8125</v>
      </c>
      <c r="D8" t="str">
        <f>VLOOKUP(1,Klwest,2,FALSE)</f>
        <v>TTG Dillingen 3</v>
      </c>
      <c r="E8" s="18" t="s">
        <v>35</v>
      </c>
      <c r="F8" t="str">
        <f>VLOOKUP(9,Klwest,2,FALSE)</f>
        <v>TTF Saarhölzbach</v>
      </c>
      <c r="G8" s="17">
        <f>IF(H8="Mo",Spieltage!$F$8,IF(H8="Di",Spieltage!$F$9,IF(H8="Mi",Spieltage!$F$10,IF(H8="Do",Spieltage!$F$11,IF(H8="Fr",Spieltage!$F$12,"")))))</f>
        <v>41647</v>
      </c>
      <c r="H8" t="str">
        <f>VLOOKUP(9,Klwest,3,FALSE)</f>
        <v>Mi</v>
      </c>
      <c r="I8" s="19">
        <f>VLOOKUP(9,Klwest,4,FALSE)</f>
        <v>0.8125</v>
      </c>
    </row>
    <row r="9" spans="1:9" ht="12.75">
      <c r="A9" s="17">
        <f>IF(B9="Mo",Spieltage!$B$8,IF(B9="Di",Spieltage!$B$9,IF(B9="Mi",Spieltage!$B$10,IF(B9="Do",Spieltage!$B$11,IF(B9="Fr",Spieltage!$B$12,"")))))</f>
        <v>41529</v>
      </c>
      <c r="B9" t="str">
        <f>VLOOKUP(2,Klwest,3,FALSE)</f>
        <v>Do</v>
      </c>
      <c r="C9" s="19">
        <f>VLOOKUP(2,Klwest,4,FALSE)</f>
        <v>0.8125</v>
      </c>
      <c r="D9" t="str">
        <f>VLOOKUP(2,Klwest,2,FALSE)</f>
        <v>SG Bous/Elm </v>
      </c>
      <c r="E9" s="18" t="s">
        <v>35</v>
      </c>
      <c r="F9" t="str">
        <f>VLOOKUP(8,Klwest,2,FALSE)</f>
        <v>TTC Berus</v>
      </c>
      <c r="G9" s="17">
        <f>IF(H9="Mo",Spieltage!$F$8,IF(H9="Di",Spieltage!$F$9,IF(H9="Mi",Spieltage!$F$10,IF(H9="Do",Spieltage!$F$11,IF(H9="Fr",Spieltage!$F$12,"")))))</f>
        <v>41646</v>
      </c>
      <c r="H9" t="str">
        <f>VLOOKUP(8,Klwest,3,FALSE)</f>
        <v>Di</v>
      </c>
      <c r="I9" s="19">
        <f>VLOOKUP(8,Klwest,4,FALSE)</f>
        <v>0.7916666666666666</v>
      </c>
    </row>
    <row r="10" spans="1:9" ht="12.75">
      <c r="A10" s="17">
        <f>IF(B10="Mo",Spieltage!$B$8,IF(B10="Di",Spieltage!$B$9,IF(B10="Mi",Spieltage!$B$10,IF(B10="Do",Spieltage!$B$11,IF(B10="Fr",Spieltage!$B$12,"")))))</f>
        <v>41529</v>
      </c>
      <c r="B10" t="str">
        <f>VLOOKUP(3,Klwest,3,FALSE)</f>
        <v>Do</v>
      </c>
      <c r="C10" s="19">
        <f>VLOOKUP(3,Klwest,4,FALSE)</f>
        <v>0.8333333333333334</v>
      </c>
      <c r="D10" t="str">
        <f>VLOOKUP(3,Klwest,2,FALSE)</f>
        <v>TTC Rehlingen </v>
      </c>
      <c r="E10" s="18" t="s">
        <v>35</v>
      </c>
      <c r="F10" t="str">
        <f>VLOOKUP(7,Klwest,2,FALSE)</f>
        <v>TTC Beckingen </v>
      </c>
      <c r="G10" s="17">
        <f>IF(H10="Mo",Spieltage!$F$8,IF(H10="Di",Spieltage!$F$9,IF(H10="Mi",Spieltage!$F$10,IF(H10="Do",Spieltage!$F$11,IF(H10="Fr",Spieltage!$F$12,"")))))</f>
        <v>41649</v>
      </c>
      <c r="H10" t="str">
        <f>VLOOKUP(7,Klwest,3,FALSE)</f>
        <v>Fr</v>
      </c>
      <c r="I10" s="19">
        <f>VLOOKUP(7,Klwest,4,FALSE)</f>
        <v>0.8125</v>
      </c>
    </row>
    <row r="11" spans="1:9" ht="12.75">
      <c r="A11" s="17">
        <f>IF(B11="Mo",Spieltage!$B$8,IF(B11="Di",Spieltage!$B$9,IF(B11="Mi",Spieltage!$B$10,IF(B11="Do",Spieltage!$B$11,IF(B11="Fr",Spieltage!$B$12,"")))))</f>
        <v>41529</v>
      </c>
      <c r="B11" t="str">
        <f>VLOOKUP(4,Klwest,3,FALSE)</f>
        <v>Do</v>
      </c>
      <c r="C11" s="19">
        <f>VLOOKUP(4,Klwest,4,FALSE)</f>
        <v>0.8125</v>
      </c>
      <c r="D11" t="str">
        <f>VLOOKUP(4,Klwest,2,FALSE)</f>
        <v>TTF Merzig </v>
      </c>
      <c r="E11" s="18" t="s">
        <v>35</v>
      </c>
      <c r="F11" t="str">
        <f>VLOOKUP(6,Klwest,2,FALSE)</f>
        <v>SG Schwarzenholz/Hülzweiler </v>
      </c>
      <c r="G11" s="17">
        <f>IF(H11="Mo",Spieltage!$F$8,IF(H11="Di",Spieltage!$F$9,IF(H11="Mi",Spieltage!$F$10,IF(H11="Do",Spieltage!$F$11,IF(H11="Fr",Spieltage!$F$12,"")))))</f>
        <v>41646</v>
      </c>
      <c r="H11" t="str">
        <f>VLOOKUP(6,Klwest,3,FALSE)</f>
        <v>Di</v>
      </c>
      <c r="I11" s="19">
        <f>VLOOKUP(6,Klwest,4,FALSE)</f>
        <v>0.8125</v>
      </c>
    </row>
    <row r="12" spans="1:9" ht="12.75">
      <c r="A12" s="17">
        <f>IF(B12="Mo",Spieltage!$B$8,IF(B12="Di",Spieltage!$B$9,IF(B12="Mi",Spieltage!$B$10,IF(B12="Do",Spieltage!$B$11,IF(B12="Fr",Spieltage!$B$12,"")))))</f>
        <v>41527</v>
      </c>
      <c r="B12" t="str">
        <f>VLOOKUP(10,Klwest,3,FALSE)</f>
        <v>Di</v>
      </c>
      <c r="C12" s="19">
        <f>VLOOKUP(10,Klwest,4,FALSE)</f>
        <v>0.8229166666666666</v>
      </c>
      <c r="D12" t="str">
        <f>VLOOKUP(10,Klwest,2,FALSE)</f>
        <v>TTV Schwalbach </v>
      </c>
      <c r="E12" s="18" t="s">
        <v>35</v>
      </c>
      <c r="F12" t="str">
        <f>VLOOKUP(5,Klwest,2,FALSE)</f>
        <v>TTG Fremersdorf-Gerlfangen 2</v>
      </c>
      <c r="G12" s="17">
        <f>IF(H12="Mo",Spieltage!$F$8,IF(H12="Di",Spieltage!$F$9,IF(H12="Mi",Spieltage!$F$10,IF(H12="Do",Spieltage!$F$11,IF(H12="Fr",Spieltage!$F$12,"")))))</f>
        <v>41649</v>
      </c>
      <c r="H12" t="str">
        <f>VLOOKUP(5,Klwest,3,FALSE)</f>
        <v>Fr</v>
      </c>
      <c r="I12" s="19">
        <f>VLOOKUP(5,Klwest,4,FALSE)</f>
        <v>0.8333333333333334</v>
      </c>
    </row>
    <row r="13" ht="12.75">
      <c r="E13" s="18"/>
    </row>
    <row r="14" spans="1:9" ht="12.75">
      <c r="A14" s="17">
        <f>IF(B14="Mo",Spieltage!$B$13,IF(B14="Di",Spieltage!$B$14,IF(B14="Mi",Spieltage!$B$15,IF(B14="Do",Spieltage!$B$16,IF(B14="Fr",Spieltage!$B$17,"")))))</f>
        <v>41535</v>
      </c>
      <c r="B14" t="str">
        <f>VLOOKUP(1,Klwest,3,FALSE)</f>
        <v>Mi</v>
      </c>
      <c r="C14" s="19">
        <f>VLOOKUP(1,Klwest,4,FALSE)</f>
        <v>0.8125</v>
      </c>
      <c r="D14" t="str">
        <f>VLOOKUP(1,Klwest,2,FALSE)</f>
        <v>TTG Dillingen 3</v>
      </c>
      <c r="E14" s="18" t="s">
        <v>35</v>
      </c>
      <c r="F14" t="str">
        <f>VLOOKUP(3,Klwest,2,FALSE)</f>
        <v>TTC Rehlingen </v>
      </c>
      <c r="G14" s="17">
        <f>IF(H14="Mo",Spieltage!$F$13,IF(H14="Di",Spieltage!$F$14,IF(H14="Mi",Spieltage!$F$15,IF(H14="Do",Spieltage!$F$16,IF(H14="Fr",Spieltage!$F$17,"")))))</f>
        <v>41662</v>
      </c>
      <c r="H14" t="str">
        <f>VLOOKUP(3,Klwest,3,FALSE)</f>
        <v>Do</v>
      </c>
      <c r="I14" s="19">
        <f>VLOOKUP(3,Klwest,4,FALSE)</f>
        <v>0.8333333333333334</v>
      </c>
    </row>
    <row r="15" spans="1:9" ht="12.75">
      <c r="A15" s="17">
        <f>IF(B15="Mo",Spieltage!$B$13,IF(B15="Di",Spieltage!$B$14,IF(B15="Mi",Spieltage!$B$15,IF(B15="Do",Spieltage!$B$16,IF(B15="Fr",Spieltage!$B$17,"")))))</f>
        <v>41534</v>
      </c>
      <c r="B15" t="str">
        <f>VLOOKUP(6,Klwest,3,FALSE)</f>
        <v>Di</v>
      </c>
      <c r="C15" s="19">
        <f>VLOOKUP(6,Klwest,4,FALSE)</f>
        <v>0.8125</v>
      </c>
      <c r="D15" t="str">
        <f>VLOOKUP(6,Klwest,2,FALSE)</f>
        <v>SG Schwarzenholz/Hülzweiler </v>
      </c>
      <c r="E15" s="18" t="s">
        <v>35</v>
      </c>
      <c r="F15" t="str">
        <f>VLOOKUP(10,Klwest,2,FALSE)</f>
        <v>TTV Schwalbach </v>
      </c>
      <c r="G15" s="17">
        <f>IF(H15="Mo",Spieltage!$F$13,IF(H15="Di",Spieltage!$F$14,IF(H15="Mi",Spieltage!$F$15,IF(H15="Do",Spieltage!$F$16,IF(H15="Fr",Spieltage!$F$17,"")))))</f>
        <v>41660</v>
      </c>
      <c r="H15" t="str">
        <f>VLOOKUP(10,Klwest,3,FALSE)</f>
        <v>Di</v>
      </c>
      <c r="I15" s="19">
        <f>VLOOKUP(10,Klwest,4,FALSE)</f>
        <v>0.8229166666666666</v>
      </c>
    </row>
    <row r="16" spans="1:9" ht="12.75">
      <c r="A16" s="17">
        <f>IF(B16="Mo",Spieltage!$B$13,IF(B16="Di",Spieltage!$B$14,IF(B16="Mi",Spieltage!$B$15,IF(B16="Do",Spieltage!$B$16,IF(B16="Fr",Spieltage!$B$17,"")))))</f>
        <v>41537</v>
      </c>
      <c r="B16" t="str">
        <f>VLOOKUP(7,Klwest,3,FALSE)</f>
        <v>Fr</v>
      </c>
      <c r="C16" s="19">
        <f>VLOOKUP(7,Klwest,4,FALSE)</f>
        <v>0.8125</v>
      </c>
      <c r="D16" t="str">
        <f>VLOOKUP(7,Klwest,2,FALSE)</f>
        <v>TTC Beckingen </v>
      </c>
      <c r="E16" s="18" t="s">
        <v>35</v>
      </c>
      <c r="F16" t="str">
        <f>VLOOKUP(4,Klwest,2,FALSE)</f>
        <v>TTF Merzig </v>
      </c>
      <c r="G16" s="17">
        <f>IF(H16="Mo",Spieltage!$F$13,IF(H16="Di",Spieltage!$F$14,IF(H16="Mi",Spieltage!$F$15,IF(H16="Do",Spieltage!$F$16,IF(H16="Fr",Spieltage!$F$17,"")))))</f>
        <v>41662</v>
      </c>
      <c r="H16" t="str">
        <f>VLOOKUP(4,Klwest,3,FALSE)</f>
        <v>Do</v>
      </c>
      <c r="I16" s="19">
        <f>VLOOKUP(4,Klwest,4,FALSE)</f>
        <v>0.8125</v>
      </c>
    </row>
    <row r="17" spans="1:9" ht="12.75">
      <c r="A17" s="17">
        <f>IF(B17="Mo",Spieltage!$B$13,IF(B17="Di",Spieltage!$B$14,IF(B17="Mi",Spieltage!$B$15,IF(B17="Do",Spieltage!$B$16,IF(B17="Fr",Spieltage!$B$17,"")))))</f>
        <v>41534</v>
      </c>
      <c r="B17" t="str">
        <f>VLOOKUP(8,Klwest,3,FALSE)</f>
        <v>Di</v>
      </c>
      <c r="C17" s="19">
        <f>VLOOKUP(8,Klwest,4,FALSE)</f>
        <v>0.7916666666666666</v>
      </c>
      <c r="D17" t="str">
        <f>VLOOKUP(8,Klwest,2,FALSE)</f>
        <v>TTC Berus</v>
      </c>
      <c r="E17" s="18" t="s">
        <v>35</v>
      </c>
      <c r="F17" t="str">
        <f>VLOOKUP(5,Klwest,2,FALSE)</f>
        <v>TTG Fremersdorf-Gerlfangen 2</v>
      </c>
      <c r="G17" s="17">
        <f>IF(H17="Mo",Spieltage!$F$13,IF(H17="Di",Spieltage!$F$14,IF(H17="Mi",Spieltage!$F$15,IF(H17="Do",Spieltage!$F$16,IF(H17="Fr",Spieltage!$F$17,"")))))</f>
        <v>41663</v>
      </c>
      <c r="H17" t="str">
        <f>VLOOKUP(5,Klwest,3,FALSE)</f>
        <v>Fr</v>
      </c>
      <c r="I17" s="19">
        <f>VLOOKUP(5,Klwest,4,FALSE)</f>
        <v>0.8333333333333334</v>
      </c>
    </row>
    <row r="18" spans="1:9" ht="12.75">
      <c r="A18" s="17">
        <f>IF(B18="Mo",Spieltage!$B$13,IF(B18="Di",Spieltage!$B$14,IF(B18="Mi",Spieltage!$B$15,IF(B18="Do",Spieltage!$B$16,IF(B18="Fr",Spieltage!$B$17,"")))))</f>
        <v>41535</v>
      </c>
      <c r="B18" t="str">
        <f>VLOOKUP(9,Klwest,3,FALSE)</f>
        <v>Mi</v>
      </c>
      <c r="C18" s="19">
        <f>VLOOKUP(9,Klwest,4,FALSE)</f>
        <v>0.8125</v>
      </c>
      <c r="D18" t="str">
        <f>VLOOKUP(9,Klwest,2,FALSE)</f>
        <v>TTF Saarhölzbach</v>
      </c>
      <c r="E18" s="18" t="s">
        <v>35</v>
      </c>
      <c r="F18" t="str">
        <f>VLOOKUP(2,Klwest,2,FALSE)</f>
        <v>SG Bous/Elm </v>
      </c>
      <c r="G18" s="17">
        <f>IF(H18="Mo",Spieltage!$F$13,IF(H18="Di",Spieltage!$F$14,IF(H18="Mi",Spieltage!$F$15,IF(H18="Do",Spieltage!$F$16,IF(H18="Fr",Spieltage!$F$17,"")))))</f>
        <v>41662</v>
      </c>
      <c r="H18" t="str">
        <f>VLOOKUP(2,Klwest,3,FALSE)</f>
        <v>Do</v>
      </c>
      <c r="I18" s="19">
        <f>VLOOKUP(2,Klwest,4,FALSE)</f>
        <v>0.8125</v>
      </c>
    </row>
    <row r="20" spans="1:9" ht="12.75">
      <c r="A20" s="17">
        <f>IF(B20="Mo",Spieltage!$B$18,IF(B20="Di",Spieltage!$B$19,IF(B20="Mi",Spieltage!$B$20,IF(B20="Do",Spieltage!$B$21,IF(B20="Fr",Spieltage!$B$22,"")))))</f>
        <v>41543</v>
      </c>
      <c r="B20" t="str">
        <f>VLOOKUP(2,Klwest,3,FALSE)</f>
        <v>Do</v>
      </c>
      <c r="C20" s="19">
        <f>VLOOKUP(2,Klwest,4,FALSE)</f>
        <v>0.8125</v>
      </c>
      <c r="D20" t="str">
        <f>VLOOKUP(2,Klwest,2,FALSE)</f>
        <v>SG Bous/Elm </v>
      </c>
      <c r="E20" s="18" t="s">
        <v>35</v>
      </c>
      <c r="F20" t="str">
        <f>VLOOKUP(1,Klwest,2,FALSE)</f>
        <v>TTG Dillingen 3</v>
      </c>
      <c r="G20" s="17">
        <f>IF(H20="Mo",Spieltage!$F$18,IF(H20="Di",Spieltage!$F$19,IF(H20="Mi",Spieltage!$F$20,IF(H20="Do",Spieltage!$F$21,IF(H20="Fr",Spieltage!$F$22,"")))))</f>
        <v>41668</v>
      </c>
      <c r="H20" t="str">
        <f>VLOOKUP(1,Klwest,3,FALSE)</f>
        <v>Mi</v>
      </c>
      <c r="I20" s="19">
        <f>VLOOKUP(1,Klwest,4,FALSE)</f>
        <v>0.8125</v>
      </c>
    </row>
    <row r="21" spans="1:9" ht="12.75">
      <c r="A21" s="17">
        <f>IF(B21="Mo",Spieltage!$B$18,IF(B21="Di",Spieltage!$B$19,IF(B21="Mi",Spieltage!$B$20,IF(B21="Do",Spieltage!$B$21,IF(B21="Fr",Spieltage!$B$22,"")))))</f>
        <v>41543</v>
      </c>
      <c r="B21" t="str">
        <f>VLOOKUP(3,Klwest,3,FALSE)</f>
        <v>Do</v>
      </c>
      <c r="C21" s="19">
        <f>VLOOKUP(3,Klwest,4,FALSE)</f>
        <v>0.8333333333333334</v>
      </c>
      <c r="D21" t="str">
        <f>VLOOKUP(3,Klwest,2,FALSE)</f>
        <v>TTC Rehlingen </v>
      </c>
      <c r="E21" s="18" t="s">
        <v>35</v>
      </c>
      <c r="F21" t="str">
        <f>VLOOKUP(9,Klwest,2,FALSE)</f>
        <v>TTF Saarhölzbach</v>
      </c>
      <c r="G21" s="17">
        <f>IF(H21="Mo",Spieltage!$F$18,IF(H21="Di",Spieltage!$F$19,IF(H21="Mi",Spieltage!$F$20,IF(H21="Do",Spieltage!$F$21,IF(H21="Fr",Spieltage!$F$22,"")))))</f>
        <v>41668</v>
      </c>
      <c r="H21" t="str">
        <f>VLOOKUP(9,Klwest,3,FALSE)</f>
        <v>Mi</v>
      </c>
      <c r="I21" s="19">
        <f>VLOOKUP(9,Klwest,4,FALSE)</f>
        <v>0.8125</v>
      </c>
    </row>
    <row r="22" spans="1:9" ht="12.75">
      <c r="A22" s="17">
        <f>IF(B22="Mo",Spieltage!$B$18,IF(B22="Di",Spieltage!$B$19,IF(B22="Mi",Spieltage!$B$20,IF(B22="Do",Spieltage!$B$21,IF(B22="Fr",Spieltage!$B$22,"")))))</f>
        <v>41543</v>
      </c>
      <c r="B22" t="str">
        <f>VLOOKUP(4,Klwest,3,FALSE)</f>
        <v>Do</v>
      </c>
      <c r="C22" s="19">
        <f>VLOOKUP(4,Klwest,4,FALSE)</f>
        <v>0.8125</v>
      </c>
      <c r="D22" t="str">
        <f>VLOOKUP(4,Klwest,2,FALSE)</f>
        <v>TTF Merzig </v>
      </c>
      <c r="E22" s="18" t="s">
        <v>35</v>
      </c>
      <c r="F22" t="str">
        <f>VLOOKUP(8,Klwest,2,FALSE)</f>
        <v>TTC Berus</v>
      </c>
      <c r="G22" s="17">
        <f>IF(H22="Mo",Spieltage!$F$18,IF(H22="Di",Spieltage!$F$19,IF(H22="Mi",Spieltage!$F$20,IF(H22="Do",Spieltage!$F$21,IF(H22="Fr",Spieltage!$F$22,"")))))</f>
        <v>41667</v>
      </c>
      <c r="H22" t="str">
        <f>VLOOKUP(8,Klwest,3,FALSE)</f>
        <v>Di</v>
      </c>
      <c r="I22" s="19">
        <f>VLOOKUP(8,Klwest,4,FALSE)</f>
        <v>0.7916666666666666</v>
      </c>
    </row>
    <row r="23" spans="1:9" ht="12.75">
      <c r="A23" s="17">
        <f>IF(B23="Mo",Spieltage!$B$18,IF(B23="Di",Spieltage!$B$19,IF(B23="Mi",Spieltage!$B$20,IF(B23="Do",Spieltage!$B$21,IF(B23="Fr",Spieltage!$B$22,"")))))</f>
        <v>41544</v>
      </c>
      <c r="B23" t="str">
        <f>VLOOKUP(5,Klwest,3,FALSE)</f>
        <v>Fr</v>
      </c>
      <c r="C23" s="19">
        <f>VLOOKUP(5,Klwest,4,FALSE)</f>
        <v>0.8333333333333334</v>
      </c>
      <c r="D23" t="str">
        <f>VLOOKUP(5,Klwest,2,FALSE)</f>
        <v>TTG Fremersdorf-Gerlfangen 2</v>
      </c>
      <c r="E23" s="18" t="s">
        <v>35</v>
      </c>
      <c r="F23" t="str">
        <f>VLOOKUP(6,Klwest,2,FALSE)</f>
        <v>SG Schwarzenholz/Hülzweiler </v>
      </c>
      <c r="G23" s="17">
        <f>IF(H23="Mo",Spieltage!$F$18,IF(H23="Di",Spieltage!$F$19,IF(H23="Mi",Spieltage!$F$20,IF(H23="Do",Spieltage!$F$21,IF(H23="Fr",Spieltage!$F$22,"")))))</f>
        <v>41667</v>
      </c>
      <c r="H23" t="str">
        <f>VLOOKUP(6,Klwest,3,FALSE)</f>
        <v>Di</v>
      </c>
      <c r="I23" s="19">
        <f>VLOOKUP(6,Klwest,4,FALSE)</f>
        <v>0.8125</v>
      </c>
    </row>
    <row r="24" spans="1:9" ht="12.75">
      <c r="A24" s="17">
        <f>IF(B24="Mo",Spieltage!$B$18,IF(B24="Di",Spieltage!$B$19,IF(B24="Mi",Spieltage!$B$20,IF(B24="Do",Spieltage!$B$21,IF(B24="Fr",Spieltage!$B$22,"")))))</f>
        <v>41541</v>
      </c>
      <c r="B24" t="str">
        <f>VLOOKUP(10,Klwest,3,FALSE)</f>
        <v>Di</v>
      </c>
      <c r="C24" s="19">
        <f>VLOOKUP(10,Klwest,4,FALSE)</f>
        <v>0.8229166666666666</v>
      </c>
      <c r="D24" t="str">
        <f>VLOOKUP(10,Klwest,2,FALSE)</f>
        <v>TTV Schwalbach </v>
      </c>
      <c r="E24" s="18" t="s">
        <v>35</v>
      </c>
      <c r="F24" t="str">
        <f>VLOOKUP(7,Klwest,2,FALSE)</f>
        <v>TTC Beckingen </v>
      </c>
      <c r="G24" s="17">
        <f>IF(H24="Mo",Spieltage!$F$18,IF(H24="Di",Spieltage!$F$19,IF(H24="Mi",Spieltage!$F$20,IF(H24="Do",Spieltage!$F$21,IF(H24="Fr",Spieltage!$F$22,"")))))</f>
        <v>41670</v>
      </c>
      <c r="H24" t="str">
        <f>VLOOKUP(7,Klwest,3,FALSE)</f>
        <v>Fr</v>
      </c>
      <c r="I24" s="19">
        <f>VLOOKUP(7,Klwest,4,FALSE)</f>
        <v>0.8125</v>
      </c>
    </row>
    <row r="26" spans="1:9" ht="12.75">
      <c r="A26" s="17">
        <f>IF(B26="Mo",Spieltage!$B$23,IF(B26="Di",Spieltage!$B$24,IF(B26="Mi",Spieltage!$B$25,IF(B26="Do",Spieltage!$B$26,IF(B26="Fr",Spieltage!$B$27,"")))))</f>
        <v>41556</v>
      </c>
      <c r="B26" t="str">
        <f>VLOOKUP(1,Klwest,3,FALSE)</f>
        <v>Mi</v>
      </c>
      <c r="C26" s="19">
        <f>VLOOKUP(1,Klwest,4,FALSE)</f>
        <v>0.8125</v>
      </c>
      <c r="D26" t="str">
        <f>VLOOKUP(1,Klwest,2,FALSE)</f>
        <v>TTG Dillingen 3</v>
      </c>
      <c r="E26" s="18" t="s">
        <v>35</v>
      </c>
      <c r="F26" t="str">
        <f>VLOOKUP(6,Klwest,2,FALSE)</f>
        <v>SG Schwarzenholz/Hülzweiler </v>
      </c>
      <c r="G26" s="17">
        <f>IF(H26="Mo",Spieltage!$F$23,IF(H26="Di",Spieltage!$F$24,IF(H26="Mi",Spieltage!$F$25,IF(H26="Do",Spieltage!$F$26,IF(H26="Fr",Spieltage!$F$27,"")))))</f>
        <v>41674</v>
      </c>
      <c r="H26" t="str">
        <f>VLOOKUP(6,Klwest,3,FALSE)</f>
        <v>Di</v>
      </c>
      <c r="I26" s="19">
        <f>VLOOKUP(6,Klwest,4,FALSE)</f>
        <v>0.8125</v>
      </c>
    </row>
    <row r="27" spans="1:9" ht="12.75">
      <c r="A27" s="17">
        <f>IF(B27="Mo",Spieltage!$B$23,IF(B27="Di",Spieltage!$B$24,IF(B27="Mi",Spieltage!$B$25,IF(B27="Do",Spieltage!$B$26,IF(B27="Fr",Spieltage!$B$27,"")))))</f>
        <v>41557</v>
      </c>
      <c r="B27" t="str">
        <f>VLOOKUP(2,Klwest,3,FALSE)</f>
        <v>Do</v>
      </c>
      <c r="C27" s="19">
        <f>VLOOKUP(2,Klwest,4,FALSE)</f>
        <v>0.8125</v>
      </c>
      <c r="D27" t="str">
        <f>VLOOKUP(2,Klwest,2,FALSE)</f>
        <v>SG Bous/Elm </v>
      </c>
      <c r="E27" s="18" t="s">
        <v>35</v>
      </c>
      <c r="F27" t="str">
        <f>VLOOKUP(3,Klwest,2,FALSE)</f>
        <v>TTC Rehlingen </v>
      </c>
      <c r="G27" s="17">
        <f>IF(H27="Mo",Spieltage!$F$23,IF(H27="Di",Spieltage!$F$24,IF(H27="Mi",Spieltage!$F$25,IF(H27="Do",Spieltage!$F$26,IF(H27="Fr",Spieltage!$F$27,"")))))</f>
        <v>41676</v>
      </c>
      <c r="H27" t="str">
        <f>VLOOKUP(3,Klwest,3,FALSE)</f>
        <v>Do</v>
      </c>
      <c r="I27" s="19">
        <f>VLOOKUP(3,Klwest,4,FALSE)</f>
        <v>0.8333333333333334</v>
      </c>
    </row>
    <row r="28" spans="1:9" ht="12.75">
      <c r="A28" s="17">
        <f>IF(B28="Mo",Spieltage!$B$23,IF(B28="Di",Spieltage!$B$24,IF(B28="Mi",Spieltage!$B$25,IF(B28="Do",Spieltage!$B$26,IF(B28="Fr",Spieltage!$B$27,"")))))</f>
        <v>41558</v>
      </c>
      <c r="B28" t="str">
        <f>VLOOKUP(7,Klwest,3,FALSE)</f>
        <v>Fr</v>
      </c>
      <c r="C28" s="19">
        <f>VLOOKUP(7,Klwest,4,FALSE)</f>
        <v>0.8125</v>
      </c>
      <c r="D28" t="str">
        <f>VLOOKUP(7,Klwest,2,FALSE)</f>
        <v>TTC Beckingen </v>
      </c>
      <c r="E28" s="18" t="s">
        <v>35</v>
      </c>
      <c r="F28" t="str">
        <f>VLOOKUP(5,Klwest,2,FALSE)</f>
        <v>TTG Fremersdorf-Gerlfangen 2</v>
      </c>
      <c r="G28" s="17">
        <f>IF(H28="Mo",Spieltage!$F$23,IF(H28="Di",Spieltage!$F$24,IF(H28="Mi",Spieltage!$F$25,IF(H28="Do",Spieltage!$F$26,IF(H28="Fr",Spieltage!$F$27,"")))))</f>
        <v>41677</v>
      </c>
      <c r="H28" t="str">
        <f>VLOOKUP(5,Klwest,3,FALSE)</f>
        <v>Fr</v>
      </c>
      <c r="I28" s="19">
        <f>VLOOKUP(5,Klwest,4,FALSE)</f>
        <v>0.8333333333333334</v>
      </c>
    </row>
    <row r="29" spans="1:9" ht="12.75">
      <c r="A29" s="17">
        <f>IF(B29="Mo",Spieltage!$B$23,IF(B29="Di",Spieltage!$B$24,IF(B29="Mi",Spieltage!$B$25,IF(B29="Do",Spieltage!$B$26,IF(B29="Fr",Spieltage!$B$27,"")))))</f>
        <v>41555</v>
      </c>
      <c r="B29" t="str">
        <f>VLOOKUP(8,Klwest,3,FALSE)</f>
        <v>Di</v>
      </c>
      <c r="C29" s="19">
        <f>VLOOKUP(8,Klwest,4,FALSE)</f>
        <v>0.7916666666666666</v>
      </c>
      <c r="D29" t="str">
        <f>VLOOKUP(8,Klwest,2,FALSE)</f>
        <v>TTC Berus</v>
      </c>
      <c r="E29" s="18" t="s">
        <v>35</v>
      </c>
      <c r="F29" t="str">
        <f>VLOOKUP(10,Klwest,2,FALSE)</f>
        <v>TTV Schwalbach </v>
      </c>
      <c r="G29" s="17">
        <f>IF(H29="Mo",Spieltage!$F$23,IF(H29="Di",Spieltage!$F$24,IF(H29="Mi",Spieltage!$F$25,IF(H29="Do",Spieltage!$F$26,IF(H29="Fr",Spieltage!$F$27,"")))))</f>
        <v>41674</v>
      </c>
      <c r="H29" t="str">
        <f>VLOOKUP(10,Klwest,3,FALSE)</f>
        <v>Di</v>
      </c>
      <c r="I29" s="19">
        <f>VLOOKUP(10,Klwest,4,FALSE)</f>
        <v>0.8229166666666666</v>
      </c>
    </row>
    <row r="30" spans="1:9" ht="12.75">
      <c r="A30" s="17">
        <f>IF(B30="Mo",Spieltage!$B$23,IF(B30="Di",Spieltage!$B$24,IF(B30="Mi",Spieltage!$B$25,IF(B30="Do",Spieltage!$B$26,IF(B30="Fr",Spieltage!$B$27,"")))))</f>
        <v>41556</v>
      </c>
      <c r="B30" t="str">
        <f>VLOOKUP(9,Klwest,3,FALSE)</f>
        <v>Mi</v>
      </c>
      <c r="C30" s="19">
        <f>VLOOKUP(9,Klwest,4,FALSE)</f>
        <v>0.8125</v>
      </c>
      <c r="D30" t="str">
        <f>VLOOKUP(9,Klwest,2,FALSE)</f>
        <v>TTF Saarhölzbach</v>
      </c>
      <c r="E30" s="18" t="s">
        <v>35</v>
      </c>
      <c r="F30" t="str">
        <f>VLOOKUP(4,Klwest,2,FALSE)</f>
        <v>TTF Merzig </v>
      </c>
      <c r="G30" s="17">
        <f>IF(H30="Mo",Spieltage!$F$23,IF(H30="Di",Spieltage!$F$24,IF(H30="Mi",Spieltage!$F$25,IF(H30="Do",Spieltage!$F$26,IF(H30="Fr",Spieltage!$F$27,"")))))</f>
        <v>41676</v>
      </c>
      <c r="H30" t="str">
        <f>VLOOKUP(4,Klwest,3,FALSE)</f>
        <v>Do</v>
      </c>
      <c r="I30" s="19">
        <f>VLOOKUP(4,Klwest,4,FALSE)</f>
        <v>0.8125</v>
      </c>
    </row>
    <row r="32" spans="1:9" ht="12.75">
      <c r="A32" s="17">
        <f>IF(B32="Mo",Spieltage!$B$28,IF(B32="Di",Spieltage!$B$29,IF(B32="Mi",Spieltage!$B$30,IF(B32="Do",Spieltage!$B$31,IF(B32="Fr",Spieltage!$B$32,"")))))</f>
        <v>41564</v>
      </c>
      <c r="B32" t="str">
        <f>VLOOKUP(3,Klwest,3,FALSE)</f>
        <v>Do</v>
      </c>
      <c r="C32" s="19">
        <f>VLOOKUP(3,Klwest,4,FALSE)</f>
        <v>0.8333333333333334</v>
      </c>
      <c r="D32" t="str">
        <f>VLOOKUP(3,Klwest,2,FALSE)</f>
        <v>TTC Rehlingen </v>
      </c>
      <c r="E32" s="18" t="s">
        <v>35</v>
      </c>
      <c r="F32" t="str">
        <f>VLOOKUP(8,Klwest,2,FALSE)</f>
        <v>TTC Berus</v>
      </c>
      <c r="G32" s="17">
        <f>IF(H32="Mo",Spieltage!$F$28,IF(H32="Di",Spieltage!$F$29,IF(H32="Mi",Spieltage!$F$30,IF(H32="Do",Spieltage!$F$31,IF(H32="Fr",Spieltage!$F$32,"")))))</f>
        <v>41681</v>
      </c>
      <c r="H32" t="str">
        <f>VLOOKUP(8,Klwest,3,FALSE)</f>
        <v>Di</v>
      </c>
      <c r="I32" s="19">
        <f>VLOOKUP(8,Klwest,4,FALSE)</f>
        <v>0.7916666666666666</v>
      </c>
    </row>
    <row r="33" spans="1:9" ht="12.75">
      <c r="A33" s="17">
        <f>IF(B33="Mo",Spieltage!$B$28,IF(B33="Di",Spieltage!$B$29,IF(B33="Mi",Spieltage!$B$30,IF(B33="Do",Spieltage!$B$31,IF(B33="Fr",Spieltage!$B$32,"")))))</f>
        <v>41564</v>
      </c>
      <c r="B33" t="str">
        <f>VLOOKUP(4,Klwest,3,FALSE)</f>
        <v>Do</v>
      </c>
      <c r="C33" s="19">
        <f>VLOOKUP(4,Klwest,4,FALSE)</f>
        <v>0.8125</v>
      </c>
      <c r="D33" t="str">
        <f>VLOOKUP(4,Klwest,2,FALSE)</f>
        <v>TTF Merzig </v>
      </c>
      <c r="E33" s="18" t="s">
        <v>35</v>
      </c>
      <c r="F33" t="str">
        <f>VLOOKUP(2,Klwest,2,FALSE)</f>
        <v>SG Bous/Elm </v>
      </c>
      <c r="G33" s="17">
        <f>IF(H33="Mo",Spieltage!$F$28,IF(H33="Di",Spieltage!$F$29,IF(H33="Mi",Spieltage!$F$30,IF(H33="Do",Spieltage!$F$31,IF(H33="Fr",Spieltage!$F$32,"")))))</f>
        <v>41683</v>
      </c>
      <c r="H33" t="str">
        <f>VLOOKUP(2,Klwest,3,FALSE)</f>
        <v>Do</v>
      </c>
      <c r="I33" s="19">
        <f>VLOOKUP(2,Klwest,4,FALSE)</f>
        <v>0.8125</v>
      </c>
    </row>
    <row r="34" spans="1:9" ht="12.75">
      <c r="A34" s="17">
        <f>IF(B34="Mo",Spieltage!$B$28,IF(B34="Di",Spieltage!$B$29,IF(B34="Mi",Spieltage!$B$30,IF(B34="Do",Spieltage!$B$31,IF(B34="Fr",Spieltage!$B$32,"")))))</f>
        <v>41565</v>
      </c>
      <c r="B34" t="str">
        <f>VLOOKUP(5,Klwest,3,FALSE)</f>
        <v>Fr</v>
      </c>
      <c r="C34" s="19">
        <f>VLOOKUP(5,Klwest,4,FALSE)</f>
        <v>0.8333333333333334</v>
      </c>
      <c r="D34" t="str">
        <f>VLOOKUP(5,Klwest,2,FALSE)</f>
        <v>TTG Fremersdorf-Gerlfangen 2</v>
      </c>
      <c r="E34" s="18" t="s">
        <v>35</v>
      </c>
      <c r="F34" t="str">
        <f>VLOOKUP(9,Klwest,2,FALSE)</f>
        <v>TTF Saarhölzbach</v>
      </c>
      <c r="G34" s="17">
        <f>IF(H34="Mo",Spieltage!$F$28,IF(H34="Di",Spieltage!$F$29,IF(H34="Mi",Spieltage!$F$30,IF(H34="Do",Spieltage!$F$31,IF(H34="Fr",Spieltage!$F$32,"")))))</f>
        <v>41682</v>
      </c>
      <c r="H34" t="str">
        <f>VLOOKUP(9,Klwest,3,FALSE)</f>
        <v>Mi</v>
      </c>
      <c r="I34" s="19">
        <f>VLOOKUP(9,Klwest,4,FALSE)</f>
        <v>0.8125</v>
      </c>
    </row>
    <row r="35" spans="1:9" ht="12.75">
      <c r="A35" s="17">
        <f>IF(B35="Mo",Spieltage!$B$28,IF(B35="Di",Spieltage!$B$29,IF(B35="Mi",Spieltage!$B$30,IF(B35="Do",Spieltage!$B$31,IF(B35="Fr",Spieltage!$B$32,"")))))</f>
        <v>41562</v>
      </c>
      <c r="B35" t="str">
        <f>VLOOKUP(6,Klwest,3,FALSE)</f>
        <v>Di</v>
      </c>
      <c r="C35" s="19">
        <f>VLOOKUP(6,Klwest,4,FALSE)</f>
        <v>0.8125</v>
      </c>
      <c r="D35" t="str">
        <f>VLOOKUP(6,Klwest,2,FALSE)</f>
        <v>SG Schwarzenholz/Hülzweiler </v>
      </c>
      <c r="E35" s="18" t="s">
        <v>35</v>
      </c>
      <c r="F35" t="str">
        <f>VLOOKUP(7,Klwest,2,FALSE)</f>
        <v>TTC Beckingen </v>
      </c>
      <c r="G35" s="17">
        <f>IF(H35="Mo",Spieltage!$F$28,IF(H35="Di",Spieltage!$F$29,IF(H35="Mi",Spieltage!$F$30,IF(H35="Do",Spieltage!$F$31,IF(H35="Fr",Spieltage!$F$32,"")))))</f>
        <v>41684</v>
      </c>
      <c r="H35" t="str">
        <f>VLOOKUP(7,Klwest,3,FALSE)</f>
        <v>Fr</v>
      </c>
      <c r="I35" s="19">
        <f>VLOOKUP(7,Klwest,4,FALSE)</f>
        <v>0.8125</v>
      </c>
    </row>
    <row r="36" spans="1:9" ht="12.75">
      <c r="A36" s="17">
        <f>IF(B36="Mo",Spieltage!$B$28,IF(B36="Di",Spieltage!$B$29,IF(B36="Mi",Spieltage!$B$30,IF(B36="Do",Spieltage!$B$31,IF(B36="Fr",Spieltage!$B$32,"")))))</f>
        <v>41562</v>
      </c>
      <c r="B36" t="str">
        <f>VLOOKUP(10,Klwest,3,FALSE)</f>
        <v>Di</v>
      </c>
      <c r="C36" s="19">
        <f>VLOOKUP(10,Klwest,4,FALSE)</f>
        <v>0.8229166666666666</v>
      </c>
      <c r="D36" t="str">
        <f>VLOOKUP(10,Klwest,2,FALSE)</f>
        <v>TTV Schwalbach </v>
      </c>
      <c r="E36" s="18" t="s">
        <v>35</v>
      </c>
      <c r="F36" t="str">
        <f>VLOOKUP(1,Klwest,2,FALSE)</f>
        <v>TTG Dillingen 3</v>
      </c>
      <c r="G36" s="17">
        <f>IF(H36="Mo",Spieltage!$F$28,IF(H36="Di",Spieltage!$F$29,IF(H36="Mi",Spieltage!$F$30,IF(H36="Do",Spieltage!$F$31,IF(H36="Fr",Spieltage!$F$32,"")))))</f>
        <v>41682</v>
      </c>
      <c r="H36" t="str">
        <f>VLOOKUP(1,Klwest,3,FALSE)</f>
        <v>Mi</v>
      </c>
      <c r="I36" s="19">
        <f>VLOOKUP(1,Klwest,4,FALSE)</f>
        <v>0.8125</v>
      </c>
    </row>
    <row r="38" spans="1:9" ht="12.75">
      <c r="A38" s="17">
        <f>IF(B38="Mo",Spieltage!$B$33,IF(B38="Di",Spieltage!$B$34,IF(B38="Mi",Spieltage!$B$35,IF(B38="Do",Spieltage!$B$36,IF(B38="Fr",Spieltage!$B$37,"")))))</f>
        <v>41584</v>
      </c>
      <c r="B38" t="str">
        <f>VLOOKUP(1,Klwest,3,FALSE)</f>
        <v>Mi</v>
      </c>
      <c r="C38" s="19">
        <f>VLOOKUP(1,Klwest,4,FALSE)</f>
        <v>0.8125</v>
      </c>
      <c r="D38" t="str">
        <f>VLOOKUP(1,Klwest,2,FALSE)</f>
        <v>TTG Dillingen 3</v>
      </c>
      <c r="E38" s="18" t="s">
        <v>35</v>
      </c>
      <c r="F38" t="str">
        <f>VLOOKUP(5,Klwest,2,FALSE)</f>
        <v>TTG Fremersdorf-Gerlfangen 2</v>
      </c>
      <c r="G38" s="17">
        <f>IF(H38="Mo",Spieltage!$F$33,IF(H38="Di",Spieltage!$F$34,IF(H38="Mi",Spieltage!$F$35,IF(H38="Do",Spieltage!$F$36,IF(H38="Fr",Spieltage!$F$37,"")))))</f>
        <v>41691</v>
      </c>
      <c r="H38" t="str">
        <f>VLOOKUP(5,Klwest,3,FALSE)</f>
        <v>Fr</v>
      </c>
      <c r="I38" s="19">
        <f>VLOOKUP(5,Klwest,4,FALSE)</f>
        <v>0.8333333333333334</v>
      </c>
    </row>
    <row r="39" spans="1:9" ht="12.75">
      <c r="A39" s="17">
        <f>IF(B39="Mo",Spieltage!$B$33,IF(B39="Di",Spieltage!$B$34,IF(B39="Mi",Spieltage!$B$35,IF(B39="Do",Spieltage!$B$36,IF(B39="Fr",Spieltage!$B$37,"")))))</f>
        <v>41585</v>
      </c>
      <c r="B39" t="str">
        <f>VLOOKUP(2,Klwest,3,FALSE)</f>
        <v>Do</v>
      </c>
      <c r="C39" s="19">
        <f>VLOOKUP(2,Klwest,4,FALSE)</f>
        <v>0.8125</v>
      </c>
      <c r="D39" t="str">
        <f>VLOOKUP(2,Klwest,2,FALSE)</f>
        <v>SG Bous/Elm </v>
      </c>
      <c r="E39" s="18" t="s">
        <v>35</v>
      </c>
      <c r="F39" t="str">
        <f>VLOOKUP(10,Klwest,2,FALSE)</f>
        <v>TTV Schwalbach </v>
      </c>
      <c r="G39" s="17">
        <f>IF(H39="Mo",Spieltage!$F$33,IF(H39="Di",Spieltage!$F$34,IF(H39="Mi",Spieltage!$F$35,IF(H39="Do",Spieltage!$F$36,IF(H39="Fr",Spieltage!$F$37,"")))))</f>
        <v>41688</v>
      </c>
      <c r="H39" t="str">
        <f>VLOOKUP(10,Klwest,3,FALSE)</f>
        <v>Di</v>
      </c>
      <c r="I39" s="19">
        <f>VLOOKUP(10,Klwest,4,FALSE)</f>
        <v>0.8229166666666666</v>
      </c>
    </row>
    <row r="40" spans="1:9" ht="12.75">
      <c r="A40" s="17">
        <f>IF(B40="Mo",Spieltage!$B$33,IF(B40="Di",Spieltage!$B$34,IF(B40="Mi",Spieltage!$B$35,IF(B40="Do",Spieltage!$B$36,IF(B40="Fr",Spieltage!$B$37,"")))))</f>
        <v>41585</v>
      </c>
      <c r="B40" t="str">
        <f>VLOOKUP(3,Klwest,3,FALSE)</f>
        <v>Do</v>
      </c>
      <c r="C40" s="19">
        <f>VLOOKUP(3,Klwest,4,FALSE)</f>
        <v>0.8333333333333334</v>
      </c>
      <c r="D40" t="str">
        <f>VLOOKUP(3,Klwest,2,FALSE)</f>
        <v>TTC Rehlingen </v>
      </c>
      <c r="E40" s="18" t="s">
        <v>35</v>
      </c>
      <c r="F40" t="str">
        <f>VLOOKUP(4,Klwest,2,FALSE)</f>
        <v>TTF Merzig </v>
      </c>
      <c r="G40" s="17">
        <f>IF(H40="Mo",Spieltage!$F$33,IF(H40="Di",Spieltage!$F$34,IF(H40="Mi",Spieltage!$F$35,IF(H40="Do",Spieltage!$F$36,IF(H40="Fr",Spieltage!$F$37,"")))))</f>
        <v>41690</v>
      </c>
      <c r="H40" t="str">
        <f>VLOOKUP(4,Klwest,3,FALSE)</f>
        <v>Do</v>
      </c>
      <c r="I40" s="19">
        <f>VLOOKUP(4,Klwest,4,FALSE)</f>
        <v>0.8125</v>
      </c>
    </row>
    <row r="41" spans="1:9" ht="12.75">
      <c r="A41" s="17">
        <f>IF(B41="Mo",Spieltage!$B$33,IF(B41="Di",Spieltage!$B$34,IF(B41="Mi",Spieltage!$B$35,IF(B41="Do",Spieltage!$B$36,IF(B41="Fr",Spieltage!$B$37,"")))))</f>
        <v>41583</v>
      </c>
      <c r="B41" t="str">
        <f>VLOOKUP(8,Klwest,3,FALSE)</f>
        <v>Di</v>
      </c>
      <c r="C41" s="19">
        <f>VLOOKUP(8,Klwest,4,FALSE)</f>
        <v>0.7916666666666666</v>
      </c>
      <c r="D41" t="str">
        <f>VLOOKUP(8,Klwest,2,FALSE)</f>
        <v>TTC Berus</v>
      </c>
      <c r="E41" s="18" t="s">
        <v>35</v>
      </c>
      <c r="F41" t="str">
        <f>VLOOKUP(7,Klwest,2,FALSE)</f>
        <v>TTC Beckingen </v>
      </c>
      <c r="G41" s="17">
        <f>IF(H41="Mo",Spieltage!$F$33,IF(H41="Di",Spieltage!$F$34,IF(H41="Mi",Spieltage!$F$35,IF(H41="Do",Spieltage!$F$36,IF(H41="Fr",Spieltage!$F$37,"")))))</f>
        <v>41691</v>
      </c>
      <c r="H41" t="str">
        <f>VLOOKUP(7,Klwest,3,FALSE)</f>
        <v>Fr</v>
      </c>
      <c r="I41" s="19">
        <f>VLOOKUP(7,Klwest,4,FALSE)</f>
        <v>0.8125</v>
      </c>
    </row>
    <row r="42" spans="1:9" ht="12.75">
      <c r="A42" s="17">
        <f>IF(B42="Mo",Spieltage!$B$33,IF(B42="Di",Spieltage!$B$34,IF(B42="Mi",Spieltage!$B$35,IF(B42="Do",Spieltage!$B$36,IF(B42="Fr",Spieltage!$B$37,"")))))</f>
        <v>41584</v>
      </c>
      <c r="B42" t="str">
        <f>VLOOKUP(9,Klwest,3,FALSE)</f>
        <v>Mi</v>
      </c>
      <c r="C42" s="19">
        <f>VLOOKUP(9,Klwest,4,FALSE)</f>
        <v>0.8125</v>
      </c>
      <c r="D42" t="str">
        <f>VLOOKUP(9,Klwest,2,FALSE)</f>
        <v>TTF Saarhölzbach</v>
      </c>
      <c r="E42" s="18" t="s">
        <v>35</v>
      </c>
      <c r="F42" t="str">
        <f>VLOOKUP(6,Klwest,2,FALSE)</f>
        <v>SG Schwarzenholz/Hülzweiler </v>
      </c>
      <c r="G42" s="17">
        <f>IF(H42="Mo",Spieltage!$F$33,IF(H42="Di",Spieltage!$F$34,IF(H42="Mi",Spieltage!$F$35,IF(H42="Do",Spieltage!$F$36,IF(H42="Fr",Spieltage!$F$37,"")))))</f>
        <v>41688</v>
      </c>
      <c r="H42" t="str">
        <f>VLOOKUP(6,Klwest,3,FALSE)</f>
        <v>Di</v>
      </c>
      <c r="I42" s="19">
        <f>VLOOKUP(6,Klwest,4,FALSE)</f>
        <v>0.8125</v>
      </c>
    </row>
    <row r="44" spans="1:9" ht="12.75">
      <c r="A44" s="17">
        <f>IF(B44="Mo",Spieltage!$B$38,IF(B44="Di",Spieltage!$B$39,IF(B44="Mi",Spieltage!$B$40,IF(B44="Do",Spieltage!$B$41,IF(B44="Fr",Spieltage!$B$42,"")))))</f>
        <v>41592</v>
      </c>
      <c r="B44" t="str">
        <f>VLOOKUP(4,Klwest,3,FALSE)</f>
        <v>Do</v>
      </c>
      <c r="C44" s="19">
        <f>VLOOKUP(4,Klwest,4,FALSE)</f>
        <v>0.8125</v>
      </c>
      <c r="D44" t="str">
        <f>VLOOKUP(4,Klwest,2,FALSE)</f>
        <v>TTF Merzig </v>
      </c>
      <c r="E44" s="18" t="s">
        <v>35</v>
      </c>
      <c r="F44" t="str">
        <f>VLOOKUP(1,Klwest,2,FALSE)</f>
        <v>TTG Dillingen 3</v>
      </c>
      <c r="G44" s="17">
        <f>IF(H44="Mo",Spieltage!$F$38,IF(H44="Di",Spieltage!$F$39,IF(H44="Mi",Spieltage!$F$40,IF(H44="Do",Spieltage!$F$41,IF(H44="Fr",Spieltage!$F$42,"")))))</f>
        <v>41710</v>
      </c>
      <c r="H44" t="str">
        <f>VLOOKUP(1,Klwest,3,FALSE)</f>
        <v>Mi</v>
      </c>
      <c r="I44" s="19">
        <f>VLOOKUP(1,Klwest,4,FALSE)</f>
        <v>0.8125</v>
      </c>
    </row>
    <row r="45" spans="1:9" ht="12.75">
      <c r="A45" s="17">
        <f>IF(B45="Mo",Spieltage!$B$38,IF(B45="Di",Spieltage!$B$39,IF(B45="Mi",Spieltage!$B$40,IF(B45="Do",Spieltage!$B$41,IF(B45="Fr",Spieltage!$B$42,"")))))</f>
        <v>41593</v>
      </c>
      <c r="B45" t="str">
        <f>VLOOKUP(5,Klwest,3,FALSE)</f>
        <v>Fr</v>
      </c>
      <c r="C45" s="19">
        <f>VLOOKUP(5,Klwest,4,FALSE)</f>
        <v>0.8333333333333334</v>
      </c>
      <c r="D45" t="str">
        <f>VLOOKUP(5,Klwest,2,FALSE)</f>
        <v>TTG Fremersdorf-Gerlfangen 2</v>
      </c>
      <c r="E45" s="18" t="s">
        <v>35</v>
      </c>
      <c r="F45" t="str">
        <f>VLOOKUP(2,Klwest,2,FALSE)</f>
        <v>SG Bous/Elm </v>
      </c>
      <c r="G45" s="17">
        <f>IF(H45="Mo",Spieltage!$F$38,IF(H45="Di",Spieltage!$F$39,IF(H45="Mi",Spieltage!$F$40,IF(H45="Do",Spieltage!$F$41,IF(H45="Fr",Spieltage!$F$42,"")))))</f>
        <v>41711</v>
      </c>
      <c r="H45" t="str">
        <f>VLOOKUP(2,Klwest,3,FALSE)</f>
        <v>Do</v>
      </c>
      <c r="I45" s="19">
        <f>VLOOKUP(2,Klwest,4,FALSE)</f>
        <v>0.8125</v>
      </c>
    </row>
    <row r="46" spans="1:9" ht="12.75">
      <c r="A46" s="17">
        <f>IF(B46="Mo",Spieltage!$B$38,IF(B46="Di",Spieltage!$B$39,IF(B46="Mi",Spieltage!$B$40,IF(B46="Do",Spieltage!$B$41,IF(B46="Fr",Spieltage!$B$42,"")))))</f>
        <v>41590</v>
      </c>
      <c r="B46" t="str">
        <f>VLOOKUP(6,Klwest,3,FALSE)</f>
        <v>Di</v>
      </c>
      <c r="C46" s="19">
        <f>VLOOKUP(6,Klwest,4,FALSE)</f>
        <v>0.8125</v>
      </c>
      <c r="D46" t="str">
        <f>VLOOKUP(6,Klwest,2,FALSE)</f>
        <v>SG Schwarzenholz/Hülzweiler </v>
      </c>
      <c r="E46" s="18" t="s">
        <v>35</v>
      </c>
      <c r="F46" t="str">
        <f>VLOOKUP(8,Klwest,2,FALSE)</f>
        <v>TTC Berus</v>
      </c>
      <c r="G46" s="17">
        <f>IF(H46="Mo",Spieltage!$F$38,IF(H46="Di",Spieltage!$F$39,IF(H46="Mi",Spieltage!$F$40,IF(H46="Do",Spieltage!$F$41,IF(H46="Fr",Spieltage!$F$42,"")))))</f>
        <v>41709</v>
      </c>
      <c r="H46" t="str">
        <f>VLOOKUP(8,Klwest,3,FALSE)</f>
        <v>Di</v>
      </c>
      <c r="I46" s="19">
        <f>VLOOKUP(8,Klwest,4,FALSE)</f>
        <v>0.7916666666666666</v>
      </c>
    </row>
    <row r="47" spans="1:9" ht="12.75">
      <c r="A47" s="17">
        <f>IF(B47="Mo",Spieltage!$B$38,IF(B47="Di",Spieltage!$B$39,IF(B47="Mi",Spieltage!$B$40,IF(B47="Do",Spieltage!$B$41,IF(B47="Fr",Spieltage!$B$42,"")))))</f>
        <v>41593</v>
      </c>
      <c r="B47" t="str">
        <f>VLOOKUP(7,Klwest,3,FALSE)</f>
        <v>Fr</v>
      </c>
      <c r="C47" s="19">
        <f>VLOOKUP(7,Klwest,4,FALSE)</f>
        <v>0.8125</v>
      </c>
      <c r="D47" t="str">
        <f>VLOOKUP(7,Klwest,2,FALSE)</f>
        <v>TTC Beckingen </v>
      </c>
      <c r="E47" s="18" t="s">
        <v>35</v>
      </c>
      <c r="F47" t="str">
        <f>VLOOKUP(9,Klwest,2,FALSE)</f>
        <v>TTF Saarhölzbach</v>
      </c>
      <c r="G47" s="17">
        <f>IF(H47="Mo",Spieltage!$F$38,IF(H47="Di",Spieltage!$F$39,IF(H47="Mi",Spieltage!$F$40,IF(H47="Do",Spieltage!$F$41,IF(H47="Fr",Spieltage!$F$42,"")))))</f>
        <v>41710</v>
      </c>
      <c r="H47" t="str">
        <f>VLOOKUP(9,Klwest,3,FALSE)</f>
        <v>Mi</v>
      </c>
      <c r="I47" s="19">
        <f>VLOOKUP(9,Klwest,4,FALSE)</f>
        <v>0.8125</v>
      </c>
    </row>
    <row r="48" spans="1:9" ht="12.75">
      <c r="A48" s="17">
        <f>IF(B48="Mo",Spieltage!$B$38,IF(B48="Di",Spieltage!$B$39,IF(B48="Mi",Spieltage!$B$40,IF(B48="Do",Spieltage!$B$41,IF(B48="Fr",Spieltage!$B$42,"")))))</f>
        <v>41590</v>
      </c>
      <c r="B48" t="str">
        <f>VLOOKUP(10,Klwest,3,FALSE)</f>
        <v>Di</v>
      </c>
      <c r="C48" s="19">
        <f>VLOOKUP(10,Klwest,4,FALSE)</f>
        <v>0.8229166666666666</v>
      </c>
      <c r="D48" t="str">
        <f>VLOOKUP(10,Klwest,2,FALSE)</f>
        <v>TTV Schwalbach </v>
      </c>
      <c r="E48" s="18" t="s">
        <v>35</v>
      </c>
      <c r="F48" t="str">
        <f>VLOOKUP(3,Klwest,2,FALSE)</f>
        <v>TTC Rehlingen </v>
      </c>
      <c r="G48" s="17">
        <f>IF(H48="Mo",Spieltage!$F$38,IF(H48="Di",Spieltage!$F$39,IF(H48="Mi",Spieltage!$F$40,IF(H48="Do",Spieltage!$F$41,IF(H48="Fr",Spieltage!$F$42,"")))))</f>
        <v>41711</v>
      </c>
      <c r="H48" t="str">
        <f>VLOOKUP(3,Klwest,3,FALSE)</f>
        <v>Do</v>
      </c>
      <c r="I48" s="19">
        <f>VLOOKUP(3,Klwest,4,FALSE)</f>
        <v>0.8333333333333334</v>
      </c>
    </row>
    <row r="50" spans="1:9" ht="12.75">
      <c r="A50" s="17">
        <f>IF(B50="Mo",Spieltage!$B$43,IF(B50="Di",Spieltage!$B$44,IF(B50="Mi",Spieltage!$B$45,IF(B50="Do",Spieltage!$B$46,IF(B50="Fr",Spieltage!$B$47,"")))))</f>
        <v>40874</v>
      </c>
      <c r="B50" t="str">
        <f>VLOOKUP(1,Klwest,3,FALSE)</f>
        <v>Mi</v>
      </c>
      <c r="C50" s="19">
        <f>VLOOKUP(1,Klwest,4,FALSE)</f>
        <v>0.8125</v>
      </c>
      <c r="D50" t="str">
        <f>VLOOKUP(1,Klwest,2,FALSE)</f>
        <v>TTG Dillingen 3</v>
      </c>
      <c r="E50" s="18" t="s">
        <v>35</v>
      </c>
      <c r="F50" t="str">
        <f>VLOOKUP(7,Klwest,2,FALSE)</f>
        <v>TTC Beckingen </v>
      </c>
      <c r="G50" s="17">
        <f>IF(H50="Mo",Spieltage!$F$43,IF(H50="Di",Spieltage!$F$44,IF(H50="Mi",Spieltage!$F$45,IF(H50="Do",Spieltage!$F$46,IF(H50="Fr",Spieltage!$F$47,"")))))</f>
        <v>41726</v>
      </c>
      <c r="H50" t="str">
        <f>VLOOKUP(7,Klwest,3,FALSE)</f>
        <v>Fr</v>
      </c>
      <c r="I50" s="19">
        <f>VLOOKUP(7,Klwest,4,FALSE)</f>
        <v>0.8125</v>
      </c>
    </row>
    <row r="51" spans="1:9" ht="12.75">
      <c r="A51" s="17">
        <f>IF(B51="Mo",Spieltage!$B$43,IF(B51="Di",Spieltage!$B$44,IF(B51="Mi",Spieltage!$B$45,IF(B51="Do",Spieltage!$B$46,IF(B51="Fr",Spieltage!$B$47,"")))))</f>
        <v>40875</v>
      </c>
      <c r="B51" t="str">
        <f>VLOOKUP(2,Klwest,3,FALSE)</f>
        <v>Do</v>
      </c>
      <c r="C51" s="19">
        <f>VLOOKUP(2,Klwest,4,FALSE)</f>
        <v>0.8125</v>
      </c>
      <c r="D51" t="str">
        <f>VLOOKUP(2,Klwest,2,FALSE)</f>
        <v>SG Bous/Elm </v>
      </c>
      <c r="E51" s="18" t="s">
        <v>35</v>
      </c>
      <c r="F51" t="str">
        <f>VLOOKUP(6,Klwest,2,FALSE)</f>
        <v>SG Schwarzenholz/Hülzweiler </v>
      </c>
      <c r="G51" s="17">
        <f>IF(H51="Mo",Spieltage!$F$43,IF(H51="Di",Spieltage!$F$44,IF(H51="Mi",Spieltage!$F$45,IF(H51="Do",Spieltage!$F$46,IF(H51="Fr",Spieltage!$F$47,"")))))</f>
        <v>41723</v>
      </c>
      <c r="H51" t="str">
        <f>VLOOKUP(6,Klwest,3,FALSE)</f>
        <v>Di</v>
      </c>
      <c r="I51" s="19">
        <f>VLOOKUP(6,Klwest,4,FALSE)</f>
        <v>0.8125</v>
      </c>
    </row>
    <row r="52" spans="1:9" ht="12.75">
      <c r="A52" s="17">
        <f>IF(B52="Mo",Spieltage!$B$43,IF(B52="Di",Spieltage!$B$44,IF(B52="Mi",Spieltage!$B$45,IF(B52="Do",Spieltage!$B$46,IF(B52="Fr",Spieltage!$B$47,"")))))</f>
        <v>40875</v>
      </c>
      <c r="B52" t="str">
        <f>VLOOKUP(3,Klwest,3,FALSE)</f>
        <v>Do</v>
      </c>
      <c r="C52" s="19">
        <f>VLOOKUP(3,Klwest,4,FALSE)</f>
        <v>0.8333333333333334</v>
      </c>
      <c r="D52" t="str">
        <f>VLOOKUP(3,Klwest,2,FALSE)</f>
        <v>TTC Rehlingen </v>
      </c>
      <c r="E52" s="18" t="s">
        <v>35</v>
      </c>
      <c r="F52" t="str">
        <f>VLOOKUP(5,Klwest,2,FALSE)</f>
        <v>TTG Fremersdorf-Gerlfangen 2</v>
      </c>
      <c r="G52" s="17">
        <f>IF(H52="Mo",Spieltage!$F$43,IF(H52="Di",Spieltage!$F$44,IF(H52="Mi",Spieltage!$F$45,IF(H52="Do",Spieltage!$F$46,IF(H52="Fr",Spieltage!$F$47,"")))))</f>
        <v>41726</v>
      </c>
      <c r="H52" t="str">
        <f>VLOOKUP(5,Klwest,3,FALSE)</f>
        <v>Fr</v>
      </c>
      <c r="I52" s="19">
        <f>VLOOKUP(5,Klwest,4,FALSE)</f>
        <v>0.8333333333333334</v>
      </c>
    </row>
    <row r="53" spans="1:9" ht="12.75">
      <c r="A53" s="17">
        <f>IF(B53="Mo",Spieltage!$B$43,IF(B53="Di",Spieltage!$B$44,IF(B53="Mi",Spieltage!$B$45,IF(B53="Do",Spieltage!$B$46,IF(B53="Fr",Spieltage!$B$47,"")))))</f>
        <v>40875</v>
      </c>
      <c r="B53" t="str">
        <f>VLOOKUP(4,Klwest,3,FALSE)</f>
        <v>Do</v>
      </c>
      <c r="C53" s="19">
        <f>VLOOKUP(4,Klwest,4,FALSE)</f>
        <v>0.8125</v>
      </c>
      <c r="D53" t="str">
        <f>VLOOKUP(4,Klwest,2,FALSE)</f>
        <v>TTF Merzig </v>
      </c>
      <c r="E53" s="18" t="s">
        <v>35</v>
      </c>
      <c r="F53" t="str">
        <f>VLOOKUP(10,Klwest,2,FALSE)</f>
        <v>TTV Schwalbach </v>
      </c>
      <c r="G53" s="17">
        <f>IF(H53="Mo",Spieltage!$F$43,IF(H53="Di",Spieltage!$F$44,IF(H53="Mi",Spieltage!$F$45,IF(H53="Do",Spieltage!$F$46,IF(H53="Fr",Spieltage!$F$47,"")))))</f>
        <v>41723</v>
      </c>
      <c r="H53" t="str">
        <f>VLOOKUP(10,Klwest,3,FALSE)</f>
        <v>Di</v>
      </c>
      <c r="I53" s="19">
        <f>VLOOKUP(10,Klwest,4,FALSE)</f>
        <v>0.8229166666666666</v>
      </c>
    </row>
    <row r="54" spans="1:9" ht="12.75">
      <c r="A54" s="17">
        <f>IF(B54="Mo",Spieltage!$B$43,IF(B54="Di",Spieltage!$B$44,IF(B54="Mi",Spieltage!$B$45,IF(B54="Do",Spieltage!$B$46,IF(B54="Fr",Spieltage!$B$47,"")))))</f>
        <v>40874</v>
      </c>
      <c r="B54" t="str">
        <f>VLOOKUP(9,Klwest,3,FALSE)</f>
        <v>Mi</v>
      </c>
      <c r="C54" s="19">
        <f>VLOOKUP(9,Klwest,4,FALSE)</f>
        <v>0.8125</v>
      </c>
      <c r="D54" t="str">
        <f>VLOOKUP(9,Klwest,2,FALSE)</f>
        <v>TTF Saarhölzbach</v>
      </c>
      <c r="E54" s="18" t="s">
        <v>35</v>
      </c>
      <c r="F54" t="str">
        <f>VLOOKUP(8,Klwest,2,FALSE)</f>
        <v>TTC Berus</v>
      </c>
      <c r="G54" s="17">
        <f>IF(H54="Mo",Spieltage!$F$43,IF(H54="Di",Spieltage!$F$44,IF(H54="Mi",Spieltage!$F$45,IF(H54="Do",Spieltage!$F$46,IF(H54="Fr",Spieltage!$F$47,"")))))</f>
        <v>41723</v>
      </c>
      <c r="H54" t="str">
        <f>VLOOKUP(8,Klwest,3,FALSE)</f>
        <v>Di</v>
      </c>
      <c r="I54" s="19">
        <f>VLOOKUP(8,Klwest,4,FALSE)</f>
        <v>0.7916666666666666</v>
      </c>
    </row>
    <row r="56" spans="1:9" ht="12.75">
      <c r="A56" s="17">
        <f>IF(B56="Mo",Spieltage!$B$48,IF(B56="Di",Spieltage!$B$49,IF(B56="Mi",Spieltage!$B$50,IF(B56="Do",Spieltage!$B$51,IF(B56="Fr",Spieltage!$B$52,"")))))</f>
        <v>41614</v>
      </c>
      <c r="B56" t="str">
        <f>VLOOKUP(5,Klwest,3,FALSE)</f>
        <v>Fr</v>
      </c>
      <c r="C56" s="19">
        <f>VLOOKUP(5,Klwest,4,FALSE)</f>
        <v>0.8333333333333334</v>
      </c>
      <c r="D56" t="str">
        <f>VLOOKUP(5,Klwest,2,FALSE)</f>
        <v>TTG Fremersdorf-Gerlfangen 2</v>
      </c>
      <c r="E56" s="18" t="s">
        <v>35</v>
      </c>
      <c r="F56" t="str">
        <f>VLOOKUP(4,Klwest,2,FALSE)</f>
        <v>TTF Merzig </v>
      </c>
      <c r="G56" s="17">
        <f>IF(H56="Mo",Spieltage!$F$48,IF(H56="Di",Spieltage!$F$49,IF(H56="Mi",Spieltage!$F$50,IF(H56="Do",Spieltage!$F$51,IF(H56="Fr",Spieltage!$F$52,"")))))</f>
        <v>41732</v>
      </c>
      <c r="H56" t="str">
        <f>VLOOKUP(4,Klwest,3,FALSE)</f>
        <v>Do</v>
      </c>
      <c r="I56" s="19">
        <f>VLOOKUP(4,Klwest,4,FALSE)</f>
        <v>0.8125</v>
      </c>
    </row>
    <row r="57" spans="1:9" ht="12.75">
      <c r="A57" s="17">
        <f>IF(B57="Mo",Spieltage!$B$48,IF(B57="Di",Spieltage!$B$49,IF(B57="Mi",Spieltage!$B$50,IF(B57="Do",Spieltage!$B$51,IF(B57="Fr",Spieltage!$B$52,"")))))</f>
        <v>41611</v>
      </c>
      <c r="B57" t="str">
        <f>VLOOKUP(6,Klwest,3,FALSE)</f>
        <v>Di</v>
      </c>
      <c r="C57" s="19">
        <f>VLOOKUP(6,Klwest,4,FALSE)</f>
        <v>0.8125</v>
      </c>
      <c r="D57" t="str">
        <f>VLOOKUP(6,Klwest,2,FALSE)</f>
        <v>SG Schwarzenholz/Hülzweiler </v>
      </c>
      <c r="E57" s="18" t="s">
        <v>35</v>
      </c>
      <c r="F57" t="str">
        <f>VLOOKUP(3,Klwest,2,FALSE)</f>
        <v>TTC Rehlingen </v>
      </c>
      <c r="G57" s="17">
        <f>IF(H57="Mo",Spieltage!$F$48,IF(H57="Di",Spieltage!$F$49,IF(H57="Mi",Spieltage!$F$50,IF(H57="Do",Spieltage!$F$51,IF(H57="Fr",Spieltage!$F$52,"")))))</f>
        <v>41732</v>
      </c>
      <c r="H57" t="str">
        <f>VLOOKUP(3,Klwest,3,FALSE)</f>
        <v>Do</v>
      </c>
      <c r="I57" s="19">
        <f>VLOOKUP(3,Klwest,4,FALSE)</f>
        <v>0.8333333333333334</v>
      </c>
    </row>
    <row r="58" spans="1:9" ht="12.75">
      <c r="A58" s="17">
        <f>IF(B58="Mo",Spieltage!$B$48,IF(B58="Di",Spieltage!$B$49,IF(B58="Mi",Spieltage!$B$50,IF(B58="Do",Spieltage!$B$51,IF(B58="Fr",Spieltage!$B$52,"")))))</f>
        <v>41614</v>
      </c>
      <c r="B58" t="str">
        <f>VLOOKUP(7,Klwest,3,FALSE)</f>
        <v>Fr</v>
      </c>
      <c r="C58" s="19">
        <f>VLOOKUP(7,Klwest,4,FALSE)</f>
        <v>0.8125</v>
      </c>
      <c r="D58" t="str">
        <f>VLOOKUP(7,Klwest,2,FALSE)</f>
        <v>TTC Beckingen </v>
      </c>
      <c r="E58" s="18" t="s">
        <v>35</v>
      </c>
      <c r="F58" t="str">
        <f>VLOOKUP(2,Klwest,2,FALSE)</f>
        <v>SG Bous/Elm </v>
      </c>
      <c r="G58" s="17">
        <f>IF(H58="Mo",Spieltage!$F$48,IF(H58="Di",Spieltage!$F$49,IF(H58="Mi",Spieltage!$F$50,IF(H58="Do",Spieltage!$F$51,IF(H58="Fr",Spieltage!$F$52,"")))))</f>
        <v>41732</v>
      </c>
      <c r="H58" t="str">
        <f>VLOOKUP(2,Klwest,3,FALSE)</f>
        <v>Do</v>
      </c>
      <c r="I58" s="19">
        <f>VLOOKUP(2,Klwest,4,FALSE)</f>
        <v>0.8125</v>
      </c>
    </row>
    <row r="59" spans="1:9" ht="12.75">
      <c r="A59" s="17">
        <f>IF(B59="Mo",Spieltage!$B$48,IF(B59="Di",Spieltage!$B$49,IF(B59="Mi",Spieltage!$B$50,IF(B59="Do",Spieltage!$B$51,IF(B59="Fr",Spieltage!$B$52,"")))))</f>
        <v>41611</v>
      </c>
      <c r="B59" t="str">
        <f>VLOOKUP(8,Klwest,3,FALSE)</f>
        <v>Di</v>
      </c>
      <c r="C59" s="19">
        <f>VLOOKUP(8,Klwest,4,FALSE)</f>
        <v>0.7916666666666666</v>
      </c>
      <c r="D59" t="str">
        <f>VLOOKUP(8,Klwest,2,FALSE)</f>
        <v>TTC Berus</v>
      </c>
      <c r="E59" s="18" t="s">
        <v>35</v>
      </c>
      <c r="F59" t="str">
        <f>VLOOKUP(1,Klwest,2,FALSE)</f>
        <v>TTG Dillingen 3</v>
      </c>
      <c r="G59" s="17">
        <f>IF(H59="Mo",Spieltage!$F$48,IF(H59="Di",Spieltage!$F$49,IF(H59="Mi",Spieltage!$F$50,IF(H59="Do",Spieltage!$F$51,IF(H59="Fr",Spieltage!$F$52,"")))))</f>
        <v>41731</v>
      </c>
      <c r="H59" t="str">
        <f>VLOOKUP(1,Klwest,3,FALSE)</f>
        <v>Mi</v>
      </c>
      <c r="I59" s="19">
        <f>VLOOKUP(1,Klwest,4,FALSE)</f>
        <v>0.8125</v>
      </c>
    </row>
    <row r="60" spans="1:9" ht="12.75">
      <c r="A60" s="17">
        <f>IF(B60="Mo",Spieltage!$B$48,IF(B60="Di",Spieltage!$B$49,IF(B60="Mi",Spieltage!$B$50,IF(B60="Do",Spieltage!$B$51,IF(B60="Fr",Spieltage!$B$52,"")))))</f>
        <v>41611</v>
      </c>
      <c r="B60" t="str">
        <f>VLOOKUP(10,Klwest,3,FALSE)</f>
        <v>Di</v>
      </c>
      <c r="C60" s="19">
        <f>VLOOKUP(10,Klwest,4,FALSE)</f>
        <v>0.8229166666666666</v>
      </c>
      <c r="D60" t="str">
        <f>VLOOKUP(10,Klwest,2,FALSE)</f>
        <v>TTV Schwalbach </v>
      </c>
      <c r="E60" s="18" t="s">
        <v>35</v>
      </c>
      <c r="F60" t="str">
        <f>VLOOKUP(9,Klwest,2,FALSE)</f>
        <v>TTF Saarhölzbach</v>
      </c>
      <c r="G60" s="17">
        <f>IF(H60="Mo",Spieltage!$F$48,IF(H60="Di",Spieltage!$F$49,IF(H60="Mi",Spieltage!$F$50,IF(H60="Do",Spieltage!$F$51,IF(H60="Fr",Spieltage!$F$52,"")))))</f>
        <v>41731</v>
      </c>
      <c r="H60" t="str">
        <f>VLOOKUP(9,Klwest,3,FALSE)</f>
        <v>Mi</v>
      </c>
      <c r="I60" s="19">
        <f>VLOOKUP(9,Klwest,4,FALSE)</f>
        <v>0.8125</v>
      </c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2" sqref="A2"/>
    </sheetView>
  </sheetViews>
  <sheetFormatPr defaultColWidth="11.421875" defaultRowHeight="12.75"/>
  <cols>
    <col min="1" max="1" width="10.28125" style="0" customWidth="1"/>
    <col min="2" max="2" width="3.7109375" style="0" customWidth="1"/>
    <col min="3" max="3" width="5.7109375" style="0" customWidth="1"/>
    <col min="4" max="4" width="21.7109375" style="0" customWidth="1"/>
    <col min="5" max="5" width="1.7109375" style="0" customWidth="1"/>
    <col min="6" max="6" width="21.7109375" style="0" customWidth="1"/>
    <col min="7" max="7" width="10.28125" style="0" customWidth="1"/>
    <col min="8" max="8" width="3.7109375" style="0" customWidth="1"/>
    <col min="9" max="9" width="5.7109375" style="0" customWidth="1"/>
  </cols>
  <sheetData>
    <row r="1" spans="1:9" ht="12.75">
      <c r="A1" s="1" t="s">
        <v>31</v>
      </c>
      <c r="I1" s="20" t="s">
        <v>32</v>
      </c>
    </row>
    <row r="2" ht="15.75">
      <c r="D2" s="4" t="s">
        <v>20</v>
      </c>
    </row>
    <row r="4" spans="1:4" ht="15.75">
      <c r="A4" s="4" t="s">
        <v>33</v>
      </c>
      <c r="D4" s="1" t="str">
        <f>Spieltage!A3&amp;" "&amp;Spieltage!B3</f>
        <v>Saison 2013/2014</v>
      </c>
    </row>
    <row r="6" spans="1:7" ht="12.75">
      <c r="A6" s="1" t="s">
        <v>28</v>
      </c>
      <c r="G6" s="1" t="s">
        <v>30</v>
      </c>
    </row>
    <row r="8" spans="1:9" ht="12.75">
      <c r="A8" s="17">
        <f>IF(B8="Mo",Spieltage!$B$8,IF(B8="Di",Spieltage!$B$9,IF(B8="Mi",Spieltage!$B$10,IF(B8="Do",Spieltage!$B$11,IF(B8="Fr",Spieltage!$B$12,"")))))</f>
        <v>41529</v>
      </c>
      <c r="B8" t="str">
        <f>VLOOKUP(1,KLost,3,FALSE)</f>
        <v>Do</v>
      </c>
      <c r="C8" s="19">
        <f>VLOOKUP(1,KLost,4,FALSE)</f>
        <v>0.8125</v>
      </c>
      <c r="D8" t="str">
        <f>VLOOKUP(1,KLost,2,FALSE)</f>
        <v>TTZ Altstadt-Kirkel</v>
      </c>
      <c r="E8" s="18" t="s">
        <v>35</v>
      </c>
      <c r="F8" t="str">
        <f>VLOOKUP(9,KLost,2,FALSE)</f>
        <v>spielfrei</v>
      </c>
      <c r="G8" s="17">
        <f>IF(H8="Mo",Spieltage!$F$8,IF(H8="Di",Spieltage!$F$9,IF(H8="Mi",Spieltage!$F$10,IF(H8="Do",Spieltage!$F$11,IF(H8="Fr",Spieltage!$F$12,"")))))</f>
      </c>
      <c r="H8" t="str">
        <f>VLOOKUP(9,KLost,3,FALSE)</f>
        <v> </v>
      </c>
      <c r="I8" s="19" t="str">
        <f>VLOOKUP(9,KLost,4,FALSE)</f>
        <v> </v>
      </c>
    </row>
    <row r="9" spans="1:9" ht="12.75">
      <c r="A9" s="17">
        <f>IF(B9="Mo",Spieltage!$B$8,IF(B9="Di",Spieltage!$B$9,IF(B9="Mi",Spieltage!$B$10,IF(B9="Do",Spieltage!$B$11,IF(B9="Fr",Spieltage!$B$12,"")))))</f>
        <v>41529</v>
      </c>
      <c r="B9" t="str">
        <f>VLOOKUP(2,KLost,3,FALSE)</f>
        <v>Do</v>
      </c>
      <c r="C9" s="19">
        <f>VLOOKUP(2,KLost,4,FALSE)</f>
        <v>0.8125</v>
      </c>
      <c r="D9" t="str">
        <f>VLOOKUP(2,KLost,2,FALSE)</f>
        <v>TTG Mandelbachtal</v>
      </c>
      <c r="E9" s="18" t="s">
        <v>35</v>
      </c>
      <c r="F9" t="str">
        <f>VLOOKUP(8,KLost,2,FALSE)</f>
        <v>TTC Lautzkirchen</v>
      </c>
      <c r="G9" s="17">
        <f>IF(H9="Mo",Spieltage!$F$8,IF(H9="Di",Spieltage!$F$9,IF(H9="Mi",Spieltage!$F$10,IF(H9="Do",Spieltage!$F$11,IF(H9="Fr",Spieltage!$F$12,"")))))</f>
        <v>41645</v>
      </c>
      <c r="H9" t="str">
        <f>VLOOKUP(8,KLost,3,FALSE)</f>
        <v>Mo</v>
      </c>
      <c r="I9" s="19">
        <f>VLOOKUP(8,KLost,4,FALSE)</f>
        <v>0.8333333333333334</v>
      </c>
    </row>
    <row r="10" spans="1:9" ht="12.75">
      <c r="A10" s="17">
        <f>IF(B10="Mo",Spieltage!$B$8,IF(B10="Di",Spieltage!$B$9,IF(B10="Mi",Spieltage!$B$10,IF(B10="Do",Spieltage!$B$11,IF(B10="Fr",Spieltage!$B$12,"")))))</f>
        <v>41530</v>
      </c>
      <c r="B10" t="str">
        <f>VLOOKUP(3,KLost,3,FALSE)</f>
        <v>Fr</v>
      </c>
      <c r="C10" s="19">
        <f>VLOOKUP(3,KLost,4,FALSE)</f>
        <v>0.8125</v>
      </c>
      <c r="D10" t="str">
        <f>VLOOKUP(3,KLost,2,FALSE)</f>
        <v>TTG Rohrbach-St.Ingbert 2</v>
      </c>
      <c r="E10" s="18" t="s">
        <v>35</v>
      </c>
      <c r="F10" t="str">
        <f>VLOOKUP(7,KLost,2,FALSE)</f>
        <v>TuS Neunkirchen 2   </v>
      </c>
      <c r="G10" s="17">
        <f>IF(H10="Mo",Spieltage!$F$8,IF(H10="Di",Spieltage!$F$9,IF(H10="Mi",Spieltage!$F$10,IF(H10="Do",Spieltage!$F$11,IF(H10="Fr",Spieltage!$F$12,"")))))</f>
        <v>41649</v>
      </c>
      <c r="H10" t="str">
        <f>VLOOKUP(7,KLost,3,FALSE)</f>
        <v>Fr</v>
      </c>
      <c r="I10" s="19">
        <f>VLOOKUP(7,KLost,4,FALSE)</f>
        <v>0.8125</v>
      </c>
    </row>
    <row r="11" spans="1:9" ht="12.75">
      <c r="A11" s="17">
        <f>IF(B11="Mo",Spieltage!$B$8,IF(B11="Di",Spieltage!$B$9,IF(B11="Mi",Spieltage!$B$10,IF(B11="Do",Spieltage!$B$11,IF(B11="Fr",Spieltage!$B$12,"")))))</f>
        <v>41530</v>
      </c>
      <c r="B11" t="str">
        <f>VLOOKUP(4,KLost,3,FALSE)</f>
        <v>Fr</v>
      </c>
      <c r="C11" s="19">
        <f>VLOOKUP(4,KLost,4,FALSE)</f>
        <v>0.8125</v>
      </c>
      <c r="D11" t="str">
        <f>VLOOKUP(4,KLost,2,FALSE)</f>
        <v>TTC Altenwald 2</v>
      </c>
      <c r="E11" s="18" t="s">
        <v>35</v>
      </c>
      <c r="F11" t="str">
        <f>VLOOKUP(6,KLost,2,FALSE)</f>
        <v>TV Quierschied </v>
      </c>
      <c r="G11" s="17">
        <f>IF(H11="Mo",Spieltage!$F$8,IF(H11="Di",Spieltage!$F$9,IF(H11="Mi",Spieltage!$F$10,IF(H11="Do",Spieltage!$F$11,IF(H11="Fr",Spieltage!$F$12,"")))))</f>
        <v>41645</v>
      </c>
      <c r="H11" t="str">
        <f>VLOOKUP(6,KLost,3,FALSE)</f>
        <v>Mo</v>
      </c>
      <c r="I11" s="19">
        <f>VLOOKUP(6,KLost,4,FALSE)</f>
        <v>0.8125</v>
      </c>
    </row>
    <row r="12" spans="1:9" ht="12.75">
      <c r="A12" s="17">
        <f>IF(B12="Mo",Spieltage!$B$8,IF(B12="Di",Spieltage!$B$9,IF(B12="Mi",Spieltage!$B$10,IF(B12="Do",Spieltage!$B$11,IF(B12="Fr",Spieltage!$B$12,"")))))</f>
      </c>
      <c r="B12">
        <f>VLOOKUP(10,KLost,3,FALSE)</f>
        <v>0</v>
      </c>
      <c r="C12" s="19">
        <f>VLOOKUP(10,KLost,4,FALSE)</f>
        <v>0</v>
      </c>
      <c r="D12" t="str">
        <f>VLOOKUP(10,KLost,2,FALSE)</f>
        <v>spielfrei</v>
      </c>
      <c r="E12" s="18" t="s">
        <v>35</v>
      </c>
      <c r="F12" t="str">
        <f>VLOOKUP(5,KLost,2,FALSE)</f>
        <v>TuS Rentrisch </v>
      </c>
      <c r="G12" s="17">
        <f>IF(H12="Mo",Spieltage!$F$8,IF(H12="Di",Spieltage!$F$9,IF(H12="Mi",Spieltage!$F$10,IF(H12="Do",Spieltage!$F$11,IF(H12="Fr",Spieltage!$F$12,"")))))</f>
        <v>41649</v>
      </c>
      <c r="H12" t="str">
        <f>VLOOKUP(5,KLost,3,FALSE)</f>
        <v>Fr</v>
      </c>
      <c r="I12" s="19">
        <f>VLOOKUP(5,KLost,4,FALSE)</f>
        <v>0.8125</v>
      </c>
    </row>
    <row r="13" ht="12.75">
      <c r="E13" s="18"/>
    </row>
    <row r="14" spans="1:9" ht="12.75">
      <c r="A14" s="17">
        <f>IF(B14="Mo",Spieltage!$B$13,IF(B14="Di",Spieltage!$B$14,IF(B14="Mi",Spieltage!$B$15,IF(B14="Do",Spieltage!$B$16,IF(B14="Fr",Spieltage!$B$17,"")))))</f>
        <v>41536</v>
      </c>
      <c r="B14" t="str">
        <f>VLOOKUP(1,KLost,3,FALSE)</f>
        <v>Do</v>
      </c>
      <c r="C14" s="19">
        <f>VLOOKUP(1,KLost,4,FALSE)</f>
        <v>0.8125</v>
      </c>
      <c r="D14" t="str">
        <f>VLOOKUP(1,KLost,2,FALSE)</f>
        <v>TTZ Altstadt-Kirkel</v>
      </c>
      <c r="E14" s="18" t="s">
        <v>35</v>
      </c>
      <c r="F14" t="str">
        <f>VLOOKUP(3,KLost,2,FALSE)</f>
        <v>TTG Rohrbach-St.Ingbert 2</v>
      </c>
      <c r="G14" s="17">
        <f>IF(H14="Mo",Spieltage!$F$13,IF(H14="Di",Spieltage!$F$14,IF(H14="Mi",Spieltage!$F$15,IF(H14="Do",Spieltage!$F$16,IF(H14="Fr",Spieltage!$F$17,"")))))</f>
        <v>41663</v>
      </c>
      <c r="H14" t="str">
        <f>VLOOKUP(3,KLost,3,FALSE)</f>
        <v>Fr</v>
      </c>
      <c r="I14" s="19">
        <f>VLOOKUP(3,KLost,4,FALSE)</f>
        <v>0.8125</v>
      </c>
    </row>
    <row r="15" spans="1:9" ht="12.75">
      <c r="A15" s="17">
        <f>IF(B15="Mo",Spieltage!$B$13,IF(B15="Di",Spieltage!$B$14,IF(B15="Mi",Spieltage!$B$15,IF(B15="Do",Spieltage!$B$16,IF(B15="Fr",Spieltage!$B$17,"")))))</f>
        <v>41533</v>
      </c>
      <c r="B15" t="str">
        <f>VLOOKUP(6,KLost,3,FALSE)</f>
        <v>Mo</v>
      </c>
      <c r="C15" s="19">
        <f>VLOOKUP(6,KLost,4,FALSE)</f>
        <v>0.8125</v>
      </c>
      <c r="D15" t="str">
        <f>VLOOKUP(6,KLost,2,FALSE)</f>
        <v>TV Quierschied </v>
      </c>
      <c r="E15" s="18" t="s">
        <v>35</v>
      </c>
      <c r="F15" t="str">
        <f>VLOOKUP(10,KLost,2,FALSE)</f>
        <v>spielfrei</v>
      </c>
      <c r="G15" s="17">
        <f>IF(H15="Mo",Spieltage!$F$13,IF(H15="Di",Spieltage!$F$14,IF(H15="Mi",Spieltage!$F$15,IF(H15="Do",Spieltage!$F$16,IF(H15="Fr",Spieltage!$F$17,"")))))</f>
      </c>
      <c r="H15">
        <f>VLOOKUP(10,KLost,3,FALSE)</f>
        <v>0</v>
      </c>
      <c r="I15" s="19">
        <f>VLOOKUP(10,KLost,4,FALSE)</f>
        <v>0</v>
      </c>
    </row>
    <row r="16" spans="1:9" ht="12.75">
      <c r="A16" s="17">
        <f>IF(B16="Mo",Spieltage!$B$13,IF(B16="Di",Spieltage!$B$14,IF(B16="Mi",Spieltage!$B$15,IF(B16="Do",Spieltage!$B$16,IF(B16="Fr",Spieltage!$B$17,"")))))</f>
        <v>41537</v>
      </c>
      <c r="B16" t="str">
        <f>VLOOKUP(7,KLost,3,FALSE)</f>
        <v>Fr</v>
      </c>
      <c r="C16" s="19">
        <f>VLOOKUP(7,KLost,4,FALSE)</f>
        <v>0.8125</v>
      </c>
      <c r="D16" t="str">
        <f>VLOOKUP(7,KLost,2,FALSE)</f>
        <v>TuS Neunkirchen 2   </v>
      </c>
      <c r="E16" s="18" t="s">
        <v>35</v>
      </c>
      <c r="F16" t="str">
        <f>VLOOKUP(4,KLost,2,FALSE)</f>
        <v>TTC Altenwald 2</v>
      </c>
      <c r="G16" s="17">
        <f>IF(H16="Mo",Spieltage!$F$13,IF(H16="Di",Spieltage!$F$14,IF(H16="Mi",Spieltage!$F$15,IF(H16="Do",Spieltage!$F$16,IF(H16="Fr",Spieltage!$F$17,"")))))</f>
        <v>41663</v>
      </c>
      <c r="H16" t="str">
        <f>VLOOKUP(4,KLost,3,FALSE)</f>
        <v>Fr</v>
      </c>
      <c r="I16" s="19">
        <f>VLOOKUP(4,KLost,4,FALSE)</f>
        <v>0.8125</v>
      </c>
    </row>
    <row r="17" spans="1:9" ht="12.75">
      <c r="A17" s="17">
        <f>IF(B17="Mo",Spieltage!$B$13,IF(B17="Di",Spieltage!$B$14,IF(B17="Mi",Spieltage!$B$15,IF(B17="Do",Spieltage!$B$16,IF(B17="Fr",Spieltage!$B$17,"")))))</f>
        <v>41533</v>
      </c>
      <c r="B17" t="str">
        <f>VLOOKUP(8,KLost,3,FALSE)</f>
        <v>Mo</v>
      </c>
      <c r="C17" s="19">
        <f>VLOOKUP(8,KLost,4,FALSE)</f>
        <v>0.8333333333333334</v>
      </c>
      <c r="D17" t="str">
        <f>VLOOKUP(8,KLost,2,FALSE)</f>
        <v>TTC Lautzkirchen</v>
      </c>
      <c r="E17" s="18" t="s">
        <v>35</v>
      </c>
      <c r="F17" t="str">
        <f>VLOOKUP(5,KLost,2,FALSE)</f>
        <v>TuS Rentrisch </v>
      </c>
      <c r="G17" s="17">
        <f>IF(H17="Mo",Spieltage!$F$13,IF(H17="Di",Spieltage!$F$14,IF(H17="Mi",Spieltage!$F$15,IF(H17="Do",Spieltage!$F$16,IF(H17="Fr",Spieltage!$F$17,"")))))</f>
        <v>41663</v>
      </c>
      <c r="H17" t="str">
        <f>VLOOKUP(5,KLost,3,FALSE)</f>
        <v>Fr</v>
      </c>
      <c r="I17" s="19">
        <f>VLOOKUP(5,KLost,4,FALSE)</f>
        <v>0.8125</v>
      </c>
    </row>
    <row r="18" spans="1:9" ht="12.75">
      <c r="A18" s="17">
        <f>IF(B18="Mo",Spieltage!$B$13,IF(B18="Di",Spieltage!$B$14,IF(B18="Mi",Spieltage!$B$15,IF(B18="Do",Spieltage!$B$16,IF(B18="Fr",Spieltage!$B$17,"")))))</f>
      </c>
      <c r="B18" t="str">
        <f>VLOOKUP(9,KLost,3,FALSE)</f>
        <v> </v>
      </c>
      <c r="C18" s="19" t="str">
        <f>VLOOKUP(9,KLost,4,FALSE)</f>
        <v> </v>
      </c>
      <c r="D18" t="str">
        <f>VLOOKUP(9,KLost,2,FALSE)</f>
        <v>spielfrei</v>
      </c>
      <c r="E18" s="18" t="s">
        <v>35</v>
      </c>
      <c r="F18" t="str">
        <f>VLOOKUP(2,KLost,2,FALSE)</f>
        <v>TTG Mandelbachtal</v>
      </c>
      <c r="G18" s="17">
        <f>IF(H18="Mo",Spieltage!$F$13,IF(H18="Di",Spieltage!$F$14,IF(H18="Mi",Spieltage!$F$15,IF(H18="Do",Spieltage!$F$16,IF(H18="Fr",Spieltage!$F$17,"")))))</f>
        <v>41662</v>
      </c>
      <c r="H18" t="str">
        <f>VLOOKUP(2,KLost,3,FALSE)</f>
        <v>Do</v>
      </c>
      <c r="I18" s="19">
        <f>VLOOKUP(2,KLost,4,FALSE)</f>
        <v>0.8125</v>
      </c>
    </row>
    <row r="20" spans="1:9" ht="12.75">
      <c r="A20" s="17">
        <f>IF(B20="Mo",Spieltage!$B$18,IF(B20="Di",Spieltage!$B$19,IF(B20="Mi",Spieltage!$B$20,IF(B20="Do",Spieltage!$B$21,IF(B20="Fr",Spieltage!$B$22,"")))))</f>
        <v>41543</v>
      </c>
      <c r="B20" t="str">
        <f>VLOOKUP(2,KLost,3,FALSE)</f>
        <v>Do</v>
      </c>
      <c r="C20" s="19">
        <f>VLOOKUP(2,KLost,4,FALSE)</f>
        <v>0.8125</v>
      </c>
      <c r="D20" t="str">
        <f>VLOOKUP(2,KLost,2,FALSE)</f>
        <v>TTG Mandelbachtal</v>
      </c>
      <c r="E20" s="18" t="s">
        <v>35</v>
      </c>
      <c r="F20" t="str">
        <f>VLOOKUP(1,KLost,2,FALSE)</f>
        <v>TTZ Altstadt-Kirkel</v>
      </c>
      <c r="G20" s="17">
        <f>IF(H20="Mo",Spieltage!$F$18,IF(H20="Di",Spieltage!$F$19,IF(H20="Mi",Spieltage!$F$20,IF(H20="Do",Spieltage!$F$21,IF(H20="Fr",Spieltage!$F$22,"")))))</f>
        <v>41669</v>
      </c>
      <c r="H20" t="str">
        <f>VLOOKUP(1,KLost,3,FALSE)</f>
        <v>Do</v>
      </c>
      <c r="I20" s="19">
        <f>VLOOKUP(1,KLost,4,FALSE)</f>
        <v>0.8125</v>
      </c>
    </row>
    <row r="21" spans="1:9" ht="12.75">
      <c r="A21" s="17">
        <f>IF(B21="Mo",Spieltage!$B$18,IF(B21="Di",Spieltage!$B$19,IF(B21="Mi",Spieltage!$B$20,IF(B21="Do",Spieltage!$B$21,IF(B21="Fr",Spieltage!$B$22,"")))))</f>
        <v>41544</v>
      </c>
      <c r="B21" t="str">
        <f>VLOOKUP(3,KLost,3,FALSE)</f>
        <v>Fr</v>
      </c>
      <c r="C21" s="19">
        <f>VLOOKUP(3,KLost,4,FALSE)</f>
        <v>0.8125</v>
      </c>
      <c r="D21" t="str">
        <f>VLOOKUP(3,KLost,2,FALSE)</f>
        <v>TTG Rohrbach-St.Ingbert 2</v>
      </c>
      <c r="E21" s="18" t="s">
        <v>35</v>
      </c>
      <c r="F21" t="str">
        <f>VLOOKUP(9,KLost,2,FALSE)</f>
        <v>spielfrei</v>
      </c>
      <c r="G21" s="17">
        <f>IF(H21="Mo",Spieltage!$F$18,IF(H21="Di",Spieltage!$F$19,IF(H21="Mi",Spieltage!$F$20,IF(H21="Do",Spieltage!$F$21,IF(H21="Fr",Spieltage!$F$22,"")))))</f>
      </c>
      <c r="H21" t="str">
        <f>VLOOKUP(9,KLost,3,FALSE)</f>
        <v> </v>
      </c>
      <c r="I21" s="19" t="str">
        <f>VLOOKUP(9,KLost,4,FALSE)</f>
        <v> </v>
      </c>
    </row>
    <row r="22" spans="1:9" ht="12.75">
      <c r="A22" s="17">
        <f>IF(B22="Mo",Spieltage!$B$18,IF(B22="Di",Spieltage!$B$19,IF(B22="Mi",Spieltage!$B$20,IF(B22="Do",Spieltage!$B$21,IF(B22="Fr",Spieltage!$B$22,"")))))</f>
        <v>41544</v>
      </c>
      <c r="B22" t="str">
        <f>VLOOKUP(4,KLost,3,FALSE)</f>
        <v>Fr</v>
      </c>
      <c r="C22" s="19">
        <f>VLOOKUP(4,KLost,4,FALSE)</f>
        <v>0.8125</v>
      </c>
      <c r="D22" t="str">
        <f>VLOOKUP(4,KLost,2,FALSE)</f>
        <v>TTC Altenwald 2</v>
      </c>
      <c r="E22" s="18" t="s">
        <v>35</v>
      </c>
      <c r="F22" t="str">
        <f>VLOOKUP(8,KLost,2,FALSE)</f>
        <v>TTC Lautzkirchen</v>
      </c>
      <c r="G22" s="17">
        <f>IF(H22="Mo",Spieltage!$F$18,IF(H22="Di",Spieltage!$F$19,IF(H22="Mi",Spieltage!$F$20,IF(H22="Do",Spieltage!$F$21,IF(H22="Fr",Spieltage!$F$22,"")))))</f>
        <v>41666</v>
      </c>
      <c r="H22" t="str">
        <f>VLOOKUP(8,KLost,3,FALSE)</f>
        <v>Mo</v>
      </c>
      <c r="I22" s="19">
        <f>VLOOKUP(8,KLost,4,FALSE)</f>
        <v>0.8333333333333334</v>
      </c>
    </row>
    <row r="23" spans="1:9" ht="12.75">
      <c r="A23" s="17">
        <f>IF(B23="Mo",Spieltage!$B$18,IF(B23="Di",Spieltage!$B$19,IF(B23="Mi",Spieltage!$B$20,IF(B23="Do",Spieltage!$B$21,IF(B23="Fr",Spieltage!$B$22,"")))))</f>
        <v>41544</v>
      </c>
      <c r="B23" t="str">
        <f>VLOOKUP(5,KLost,3,FALSE)</f>
        <v>Fr</v>
      </c>
      <c r="C23" s="19">
        <f>VLOOKUP(5,KLost,4,FALSE)</f>
        <v>0.8125</v>
      </c>
      <c r="D23" t="str">
        <f>VLOOKUP(5,KLost,2,FALSE)</f>
        <v>TuS Rentrisch </v>
      </c>
      <c r="E23" s="18" t="s">
        <v>35</v>
      </c>
      <c r="F23" t="str">
        <f>VLOOKUP(6,KLost,2,FALSE)</f>
        <v>TV Quierschied </v>
      </c>
      <c r="G23" s="17">
        <f>IF(H23="Mo",Spieltage!$F$18,IF(H23="Di",Spieltage!$F$19,IF(H23="Mi",Spieltage!$F$20,IF(H23="Do",Spieltage!$F$21,IF(H23="Fr",Spieltage!$F$22,"")))))</f>
        <v>41666</v>
      </c>
      <c r="H23" t="str">
        <f>VLOOKUP(6,KLost,3,FALSE)</f>
        <v>Mo</v>
      </c>
      <c r="I23" s="19">
        <f>VLOOKUP(6,KLost,4,FALSE)</f>
        <v>0.8125</v>
      </c>
    </row>
    <row r="24" spans="1:9" ht="12.75">
      <c r="A24" s="17">
        <f>IF(B24="Mo",Spieltage!$B$18,IF(B24="Di",Spieltage!$B$19,IF(B24="Mi",Spieltage!$B$20,IF(B24="Do",Spieltage!$B$21,IF(B24="Fr",Spieltage!$B$22,"")))))</f>
      </c>
      <c r="B24">
        <f>VLOOKUP(10,KLost,3,FALSE)</f>
        <v>0</v>
      </c>
      <c r="C24" s="19">
        <f>VLOOKUP(10,KLost,4,FALSE)</f>
        <v>0</v>
      </c>
      <c r="D24" t="str">
        <f>VLOOKUP(10,KLost,2,FALSE)</f>
        <v>spielfrei</v>
      </c>
      <c r="E24" s="18" t="s">
        <v>35</v>
      </c>
      <c r="F24" t="str">
        <f>VLOOKUP(7,KLost,2,FALSE)</f>
        <v>TuS Neunkirchen 2   </v>
      </c>
      <c r="G24" s="17">
        <f>IF(H24="Mo",Spieltage!$F$18,IF(H24="Di",Spieltage!$F$19,IF(H24="Mi",Spieltage!$F$20,IF(H24="Do",Spieltage!$F$21,IF(H24="Fr",Spieltage!$F$22,"")))))</f>
        <v>41670</v>
      </c>
      <c r="H24" t="str">
        <f>VLOOKUP(7,KLost,3,FALSE)</f>
        <v>Fr</v>
      </c>
      <c r="I24" s="19">
        <f>VLOOKUP(7,KLost,4,FALSE)</f>
        <v>0.8125</v>
      </c>
    </row>
    <row r="26" spans="1:9" ht="12.75">
      <c r="A26" s="17">
        <f>IF(B26="Mo",Spieltage!$B$23,IF(B26="Di",Spieltage!$B$24,IF(B26="Mi",Spieltage!$B$25,IF(B26="Do",Spieltage!$B$26,IF(B26="Fr",Spieltage!$B$27,"")))))</f>
        <v>41557</v>
      </c>
      <c r="B26" t="str">
        <f>VLOOKUP(1,KLost,3,FALSE)</f>
        <v>Do</v>
      </c>
      <c r="C26" s="19">
        <f>VLOOKUP(1,KLost,4,FALSE)</f>
        <v>0.8125</v>
      </c>
      <c r="D26" t="str">
        <f>VLOOKUP(1,KLost,2,FALSE)</f>
        <v>TTZ Altstadt-Kirkel</v>
      </c>
      <c r="E26" s="18" t="s">
        <v>35</v>
      </c>
      <c r="F26" t="str">
        <f>VLOOKUP(6,KLost,2,FALSE)</f>
        <v>TV Quierschied </v>
      </c>
      <c r="G26" s="17">
        <f>IF(H26="Mo",Spieltage!$F$23,IF(H26="Di",Spieltage!$F$24,IF(H26="Mi",Spieltage!$F$25,IF(H26="Do",Spieltage!$F$26,IF(H26="Fr",Spieltage!$F$27,"")))))</f>
        <v>41673</v>
      </c>
      <c r="H26" t="str">
        <f>VLOOKUP(6,KLost,3,FALSE)</f>
        <v>Mo</v>
      </c>
      <c r="I26" s="19">
        <f>VLOOKUP(6,KLost,4,FALSE)</f>
        <v>0.8125</v>
      </c>
    </row>
    <row r="27" spans="1:9" ht="12.75">
      <c r="A27" s="17">
        <f>IF(B27="Mo",Spieltage!$B$23,IF(B27="Di",Spieltage!$B$24,IF(B27="Mi",Spieltage!$B$25,IF(B27="Do",Spieltage!$B$26,IF(B27="Fr",Spieltage!$B$27,"")))))</f>
        <v>41557</v>
      </c>
      <c r="B27" t="str">
        <f>VLOOKUP(2,KLost,3,FALSE)</f>
        <v>Do</v>
      </c>
      <c r="C27" s="19">
        <f>VLOOKUP(2,KLost,4,FALSE)</f>
        <v>0.8125</v>
      </c>
      <c r="D27" t="str">
        <f>VLOOKUP(2,KLost,2,FALSE)</f>
        <v>TTG Mandelbachtal</v>
      </c>
      <c r="E27" s="18" t="s">
        <v>35</v>
      </c>
      <c r="F27" t="str">
        <f>VLOOKUP(3,KLost,2,FALSE)</f>
        <v>TTG Rohrbach-St.Ingbert 2</v>
      </c>
      <c r="G27" s="17">
        <f>IF(H27="Mo",Spieltage!$F$23,IF(H27="Di",Spieltage!$F$24,IF(H27="Mi",Spieltage!$F$25,IF(H27="Do",Spieltage!$F$26,IF(H27="Fr",Spieltage!$F$27,"")))))</f>
        <v>41677</v>
      </c>
      <c r="H27" t="str">
        <f>VLOOKUP(3,KLost,3,FALSE)</f>
        <v>Fr</v>
      </c>
      <c r="I27" s="19">
        <f>VLOOKUP(3,KLost,4,FALSE)</f>
        <v>0.8125</v>
      </c>
    </row>
    <row r="28" spans="1:9" ht="12.75">
      <c r="A28" s="17">
        <f>IF(B28="Mo",Spieltage!$B$23,IF(B28="Di",Spieltage!$B$24,IF(B28="Mi",Spieltage!$B$25,IF(B28="Do",Spieltage!$B$26,IF(B28="Fr",Spieltage!$B$27,"")))))</f>
        <v>41558</v>
      </c>
      <c r="B28" t="str">
        <f>VLOOKUP(7,KLost,3,FALSE)</f>
        <v>Fr</v>
      </c>
      <c r="C28" s="19">
        <f>VLOOKUP(7,KLost,4,FALSE)</f>
        <v>0.8125</v>
      </c>
      <c r="D28" t="str">
        <f>VLOOKUP(7,KLost,2,FALSE)</f>
        <v>TuS Neunkirchen 2   </v>
      </c>
      <c r="E28" s="18" t="s">
        <v>35</v>
      </c>
      <c r="F28" t="str">
        <f>VLOOKUP(5,KLost,2,FALSE)</f>
        <v>TuS Rentrisch </v>
      </c>
      <c r="G28" s="17">
        <f>IF(H28="Mo",Spieltage!$F$23,IF(H28="Di",Spieltage!$F$24,IF(H28="Mi",Spieltage!$F$25,IF(H28="Do",Spieltage!$F$26,IF(H28="Fr",Spieltage!$F$27,"")))))</f>
        <v>41677</v>
      </c>
      <c r="H28" t="str">
        <f>VLOOKUP(5,KLost,3,FALSE)</f>
        <v>Fr</v>
      </c>
      <c r="I28" s="19">
        <f>VLOOKUP(5,KLost,4,FALSE)</f>
        <v>0.8125</v>
      </c>
    </row>
    <row r="29" spans="1:9" ht="12.75">
      <c r="A29" s="17">
        <f>IF(B29="Mo",Spieltage!$B$23,IF(B29="Di",Spieltage!$B$24,IF(B29="Mi",Spieltage!$B$25,IF(B29="Do",Spieltage!$B$26,IF(B29="Fr",Spieltage!$B$27,"")))))</f>
        <v>41554</v>
      </c>
      <c r="B29" t="str">
        <f>VLOOKUP(8,KLost,3,FALSE)</f>
        <v>Mo</v>
      </c>
      <c r="C29" s="19">
        <f>VLOOKUP(8,KLost,4,FALSE)</f>
        <v>0.8333333333333334</v>
      </c>
      <c r="D29" t="str">
        <f>VLOOKUP(8,KLost,2,FALSE)</f>
        <v>TTC Lautzkirchen</v>
      </c>
      <c r="E29" s="18" t="s">
        <v>35</v>
      </c>
      <c r="F29" t="str">
        <f>VLOOKUP(10,KLost,2,FALSE)</f>
        <v>spielfrei</v>
      </c>
      <c r="G29" s="17">
        <f>IF(H29="Mo",Spieltage!$F$23,IF(H29="Di",Spieltage!$F$24,IF(H29="Mi",Spieltage!$F$25,IF(H29="Do",Spieltage!$F$26,IF(H29="Fr",Spieltage!$F$27,"")))))</f>
      </c>
      <c r="H29">
        <f>VLOOKUP(10,KLost,3,FALSE)</f>
        <v>0</v>
      </c>
      <c r="I29" s="19">
        <f>VLOOKUP(10,KLost,4,FALSE)</f>
        <v>0</v>
      </c>
    </row>
    <row r="30" spans="1:9" ht="12.75">
      <c r="A30" s="17">
        <f>IF(B30="Mo",Spieltage!$B$23,IF(B30="Di",Spieltage!$B$24,IF(B30="Mi",Spieltage!$B$25,IF(B30="Do",Spieltage!$B$26,IF(B30="Fr",Spieltage!$B$27,"")))))</f>
      </c>
      <c r="B30" t="str">
        <f>VLOOKUP(9,KLost,3,FALSE)</f>
        <v> </v>
      </c>
      <c r="C30" s="19" t="str">
        <f>VLOOKUP(9,KLost,4,FALSE)</f>
        <v> </v>
      </c>
      <c r="D30" t="str">
        <f>VLOOKUP(9,KLost,2,FALSE)</f>
        <v>spielfrei</v>
      </c>
      <c r="E30" s="18" t="s">
        <v>35</v>
      </c>
      <c r="F30" t="str">
        <f>VLOOKUP(4,KLost,2,FALSE)</f>
        <v>TTC Altenwald 2</v>
      </c>
      <c r="G30" s="17">
        <f>IF(H30="Mo",Spieltage!$F$23,IF(H30="Di",Spieltage!$F$24,IF(H30="Mi",Spieltage!$F$25,IF(H30="Do",Spieltage!$F$26,IF(H30="Fr",Spieltage!$F$27,"")))))</f>
        <v>41677</v>
      </c>
      <c r="H30" t="str">
        <f>VLOOKUP(4,KLost,3,FALSE)</f>
        <v>Fr</v>
      </c>
      <c r="I30" s="19">
        <f>VLOOKUP(4,KLost,4,FALSE)</f>
        <v>0.8125</v>
      </c>
    </row>
    <row r="32" spans="1:9" ht="12.75">
      <c r="A32" s="17">
        <f>IF(B32="Mo",Spieltage!$B$28,IF(B32="Di",Spieltage!$B$29,IF(B32="Mi",Spieltage!$B$30,IF(B32="Do",Spieltage!$B$31,IF(B32="Fr",Spieltage!$B$32,"")))))</f>
        <v>41565</v>
      </c>
      <c r="B32" t="str">
        <f>VLOOKUP(3,KLost,3,FALSE)</f>
        <v>Fr</v>
      </c>
      <c r="C32" s="19">
        <f>VLOOKUP(3,KLost,4,FALSE)</f>
        <v>0.8125</v>
      </c>
      <c r="D32" t="str">
        <f>VLOOKUP(3,KLost,2,FALSE)</f>
        <v>TTG Rohrbach-St.Ingbert 2</v>
      </c>
      <c r="E32" s="18" t="s">
        <v>35</v>
      </c>
      <c r="F32" t="str">
        <f>VLOOKUP(8,KLost,2,FALSE)</f>
        <v>TTC Lautzkirchen</v>
      </c>
      <c r="G32" s="17">
        <f>IF(H32="Mo",Spieltage!$F$28,IF(H32="Di",Spieltage!$F$29,IF(H32="Mi",Spieltage!$F$30,IF(H32="Do",Spieltage!$F$31,IF(H32="Fr",Spieltage!$F$32,"")))))</f>
        <v>41680</v>
      </c>
      <c r="H32" t="str">
        <f>VLOOKUP(8,KLost,3,FALSE)</f>
        <v>Mo</v>
      </c>
      <c r="I32" s="19">
        <f>VLOOKUP(8,KLost,4,FALSE)</f>
        <v>0.8333333333333334</v>
      </c>
    </row>
    <row r="33" spans="1:9" ht="12.75">
      <c r="A33" s="17">
        <f>IF(B33="Mo",Spieltage!$B$28,IF(B33="Di",Spieltage!$B$29,IF(B33="Mi",Spieltage!$B$30,IF(B33="Do",Spieltage!$B$31,IF(B33="Fr",Spieltage!$B$32,"")))))</f>
        <v>41565</v>
      </c>
      <c r="B33" t="str">
        <f>VLOOKUP(4,KLost,3,FALSE)</f>
        <v>Fr</v>
      </c>
      <c r="C33" s="19">
        <f>VLOOKUP(4,KLost,4,FALSE)</f>
        <v>0.8125</v>
      </c>
      <c r="D33" t="str">
        <f>VLOOKUP(4,KLost,2,FALSE)</f>
        <v>TTC Altenwald 2</v>
      </c>
      <c r="E33" s="18" t="s">
        <v>35</v>
      </c>
      <c r="F33" t="str">
        <f>VLOOKUP(2,KLost,2,FALSE)</f>
        <v>TTG Mandelbachtal</v>
      </c>
      <c r="G33" s="17">
        <f>IF(H33="Mo",Spieltage!$F$28,IF(H33="Di",Spieltage!$F$29,IF(H33="Mi",Spieltage!$F$30,IF(H33="Do",Spieltage!$F$31,IF(H33="Fr",Spieltage!$F$32,"")))))</f>
        <v>41683</v>
      </c>
      <c r="H33" t="str">
        <f>VLOOKUP(2,KLost,3,FALSE)</f>
        <v>Do</v>
      </c>
      <c r="I33" s="19">
        <f>VLOOKUP(2,KLost,4,FALSE)</f>
        <v>0.8125</v>
      </c>
    </row>
    <row r="34" spans="1:9" ht="12.75">
      <c r="A34" s="17">
        <f>IF(B34="Mo",Spieltage!$B$28,IF(B34="Di",Spieltage!$B$29,IF(B34="Mi",Spieltage!$B$30,IF(B34="Do",Spieltage!$B$31,IF(B34="Fr",Spieltage!$B$32,"")))))</f>
        <v>41565</v>
      </c>
      <c r="B34" t="str">
        <f>VLOOKUP(5,KLost,3,FALSE)</f>
        <v>Fr</v>
      </c>
      <c r="C34" s="19">
        <f>VLOOKUP(5,KLost,4,FALSE)</f>
        <v>0.8125</v>
      </c>
      <c r="D34" t="str">
        <f>VLOOKUP(5,KLost,2,FALSE)</f>
        <v>TuS Rentrisch </v>
      </c>
      <c r="E34" s="18" t="s">
        <v>35</v>
      </c>
      <c r="F34" t="str">
        <f>VLOOKUP(9,KLost,2,FALSE)</f>
        <v>spielfrei</v>
      </c>
      <c r="G34" s="17">
        <f>IF(H34="Mo",Spieltage!$F$28,IF(H34="Di",Spieltage!$F$29,IF(H34="Mi",Spieltage!$F$30,IF(H34="Do",Spieltage!$F$31,IF(H34="Fr",Spieltage!$F$32,"")))))</f>
      </c>
      <c r="H34" t="str">
        <f>VLOOKUP(9,KLost,3,FALSE)</f>
        <v> </v>
      </c>
      <c r="I34" s="19" t="str">
        <f>VLOOKUP(9,KLost,4,FALSE)</f>
        <v> </v>
      </c>
    </row>
    <row r="35" spans="1:9" ht="12.75">
      <c r="A35" s="17">
        <f>IF(B35="Mo",Spieltage!$B$28,IF(B35="Di",Spieltage!$B$29,IF(B35="Mi",Spieltage!$B$30,IF(B35="Do",Spieltage!$B$31,IF(B35="Fr",Spieltage!$B$32,"")))))</f>
        <v>41561</v>
      </c>
      <c r="B35" t="str">
        <f>VLOOKUP(6,KLost,3,FALSE)</f>
        <v>Mo</v>
      </c>
      <c r="C35" s="19">
        <f>VLOOKUP(6,KLost,4,FALSE)</f>
        <v>0.8125</v>
      </c>
      <c r="D35" t="str">
        <f>VLOOKUP(6,KLost,2,FALSE)</f>
        <v>TV Quierschied </v>
      </c>
      <c r="E35" s="18" t="s">
        <v>35</v>
      </c>
      <c r="F35" t="str">
        <f>VLOOKUP(7,KLost,2,FALSE)</f>
        <v>TuS Neunkirchen 2   </v>
      </c>
      <c r="G35" s="17">
        <f>IF(H35="Mo",Spieltage!$F$28,IF(H35="Di",Spieltage!$F$29,IF(H35="Mi",Spieltage!$F$30,IF(H35="Do",Spieltage!$F$31,IF(H35="Fr",Spieltage!$F$32,"")))))</f>
        <v>41684</v>
      </c>
      <c r="H35" t="str">
        <f>VLOOKUP(7,KLost,3,FALSE)</f>
        <v>Fr</v>
      </c>
      <c r="I35" s="19">
        <f>VLOOKUP(7,KLost,4,FALSE)</f>
        <v>0.8125</v>
      </c>
    </row>
    <row r="36" spans="1:9" ht="12.75">
      <c r="A36" s="17">
        <f>IF(B36="Mo",Spieltage!$B$28,IF(B36="Di",Spieltage!$B$29,IF(B36="Mi",Spieltage!$B$30,IF(B36="Do",Spieltage!$B$31,IF(B36="Fr",Spieltage!$B$32,"")))))</f>
      </c>
      <c r="B36">
        <f>VLOOKUP(10,KLost,3,FALSE)</f>
        <v>0</v>
      </c>
      <c r="C36" s="19">
        <f>VLOOKUP(10,KLost,4,FALSE)</f>
        <v>0</v>
      </c>
      <c r="D36" t="str">
        <f>VLOOKUP(10,KLost,2,FALSE)</f>
        <v>spielfrei</v>
      </c>
      <c r="E36" s="18" t="s">
        <v>35</v>
      </c>
      <c r="F36" t="str">
        <f>VLOOKUP(1,KLost,2,FALSE)</f>
        <v>TTZ Altstadt-Kirkel</v>
      </c>
      <c r="G36" s="17">
        <f>IF(H36="Mo",Spieltage!$F$28,IF(H36="Di",Spieltage!$F$29,IF(H36="Mi",Spieltage!$F$30,IF(H36="Do",Spieltage!$F$31,IF(H36="Fr",Spieltage!$F$32,"")))))</f>
        <v>41683</v>
      </c>
      <c r="H36" t="str">
        <f>VLOOKUP(1,KLost,3,FALSE)</f>
        <v>Do</v>
      </c>
      <c r="I36" s="19">
        <f>VLOOKUP(1,KLost,4,FALSE)</f>
        <v>0.8125</v>
      </c>
    </row>
    <row r="38" spans="1:9" ht="12.75">
      <c r="A38" s="17">
        <f>IF(B38="Mo",Spieltage!$B$33,IF(B38="Di",Spieltage!$B$34,IF(B38="Mi",Spieltage!$B$35,IF(B38="Do",Spieltage!$B$36,IF(B38="Fr",Spieltage!$B$37,"")))))</f>
        <v>41585</v>
      </c>
      <c r="B38" t="str">
        <f>VLOOKUP(1,KLost,3,FALSE)</f>
        <v>Do</v>
      </c>
      <c r="C38" s="19">
        <f>VLOOKUP(1,KLost,4,FALSE)</f>
        <v>0.8125</v>
      </c>
      <c r="D38" t="str">
        <f>VLOOKUP(1,KLost,2,FALSE)</f>
        <v>TTZ Altstadt-Kirkel</v>
      </c>
      <c r="E38" s="18" t="s">
        <v>35</v>
      </c>
      <c r="F38" t="str">
        <f>VLOOKUP(5,KLost,2,FALSE)</f>
        <v>TuS Rentrisch </v>
      </c>
      <c r="G38" s="17">
        <f>IF(H38="Mo",Spieltage!$F$33,IF(H38="Di",Spieltage!$F$34,IF(H38="Mi",Spieltage!$F$35,IF(H38="Do",Spieltage!$F$36,IF(H38="Fr",Spieltage!$F$37,"")))))</f>
        <v>41691</v>
      </c>
      <c r="H38" t="str">
        <f>VLOOKUP(5,KLost,3,FALSE)</f>
        <v>Fr</v>
      </c>
      <c r="I38" s="19">
        <f>VLOOKUP(5,KLost,4,FALSE)</f>
        <v>0.8125</v>
      </c>
    </row>
    <row r="39" spans="1:9" ht="12.75">
      <c r="A39" s="17">
        <f>IF(B39="Mo",Spieltage!$B$33,IF(B39="Di",Spieltage!$B$34,IF(B39="Mi",Spieltage!$B$35,IF(B39="Do",Spieltage!$B$36,IF(B39="Fr",Spieltage!$B$37,"")))))</f>
        <v>41585</v>
      </c>
      <c r="B39" t="str">
        <f>VLOOKUP(2,KLost,3,FALSE)</f>
        <v>Do</v>
      </c>
      <c r="C39" s="19">
        <f>VLOOKUP(2,KLost,4,FALSE)</f>
        <v>0.8125</v>
      </c>
      <c r="D39" t="str">
        <f>VLOOKUP(2,KLost,2,FALSE)</f>
        <v>TTG Mandelbachtal</v>
      </c>
      <c r="E39" s="18" t="s">
        <v>35</v>
      </c>
      <c r="F39" t="str">
        <f>VLOOKUP(10,KLost,2,FALSE)</f>
        <v>spielfrei</v>
      </c>
      <c r="G39" s="17">
        <f>IF(H39="Mo",Spieltage!$F$33,IF(H39="Di",Spieltage!$F$34,IF(H39="Mi",Spieltage!$F$35,IF(H39="Do",Spieltage!$F$36,IF(H39="Fr",Spieltage!$F$37,"")))))</f>
      </c>
      <c r="H39">
        <f>VLOOKUP(10,KLost,3,FALSE)</f>
        <v>0</v>
      </c>
      <c r="I39" s="19">
        <f>VLOOKUP(10,KLost,4,FALSE)</f>
        <v>0</v>
      </c>
    </row>
    <row r="40" spans="1:9" ht="12.75">
      <c r="A40" s="17">
        <f>IF(B40="Mo",Spieltage!$B$33,IF(B40="Di",Spieltage!$B$34,IF(B40="Mi",Spieltage!$B$35,IF(B40="Do",Spieltage!$B$36,IF(B40="Fr",Spieltage!$B$37,"")))))</f>
        <v>41586</v>
      </c>
      <c r="B40" t="str">
        <f>VLOOKUP(3,KLost,3,FALSE)</f>
        <v>Fr</v>
      </c>
      <c r="C40" s="19">
        <f>VLOOKUP(3,KLost,4,FALSE)</f>
        <v>0.8125</v>
      </c>
      <c r="D40" t="str">
        <f>VLOOKUP(3,KLost,2,FALSE)</f>
        <v>TTG Rohrbach-St.Ingbert 2</v>
      </c>
      <c r="E40" s="18" t="s">
        <v>35</v>
      </c>
      <c r="F40" t="str">
        <f>VLOOKUP(4,KLost,2,FALSE)</f>
        <v>TTC Altenwald 2</v>
      </c>
      <c r="G40" s="17">
        <f>IF(H40="Mo",Spieltage!$F$33,IF(H40="Di",Spieltage!$F$34,IF(H40="Mi",Spieltage!$F$35,IF(H40="Do",Spieltage!$F$36,IF(H40="Fr",Spieltage!$F$37,"")))))</f>
        <v>41691</v>
      </c>
      <c r="H40" t="str">
        <f>VLOOKUP(4,KLost,3,FALSE)</f>
        <v>Fr</v>
      </c>
      <c r="I40" s="19">
        <f>VLOOKUP(4,KLost,4,FALSE)</f>
        <v>0.8125</v>
      </c>
    </row>
    <row r="41" spans="1:9" ht="12.75">
      <c r="A41" s="17">
        <f>IF(B41="Mo",Spieltage!$B$33,IF(B41="Di",Spieltage!$B$34,IF(B41="Mi",Spieltage!$B$35,IF(B41="Do",Spieltage!$B$36,IF(B41="Fr",Spieltage!$B$37,"")))))</f>
        <v>41582</v>
      </c>
      <c r="B41" t="str">
        <f>VLOOKUP(8,KLost,3,FALSE)</f>
        <v>Mo</v>
      </c>
      <c r="C41" s="19">
        <f>VLOOKUP(8,KLost,4,FALSE)</f>
        <v>0.8333333333333334</v>
      </c>
      <c r="D41" t="str">
        <f>VLOOKUP(8,KLost,2,FALSE)</f>
        <v>TTC Lautzkirchen</v>
      </c>
      <c r="E41" s="18" t="s">
        <v>35</v>
      </c>
      <c r="F41" t="str">
        <f>VLOOKUP(7,KLost,2,FALSE)</f>
        <v>TuS Neunkirchen 2   </v>
      </c>
      <c r="G41" s="17">
        <f>IF(H41="Mo",Spieltage!$F$33,IF(H41="Di",Spieltage!$F$34,IF(H41="Mi",Spieltage!$F$35,IF(H41="Do",Spieltage!$F$36,IF(H41="Fr",Spieltage!$F$37,"")))))</f>
        <v>41691</v>
      </c>
      <c r="H41" t="str">
        <f>VLOOKUP(7,KLost,3,FALSE)</f>
        <v>Fr</v>
      </c>
      <c r="I41" s="19">
        <f>VLOOKUP(7,KLost,4,FALSE)</f>
        <v>0.8125</v>
      </c>
    </row>
    <row r="42" spans="1:9" ht="12.75">
      <c r="A42" s="17">
        <f>IF(B42="Mo",Spieltage!$B$33,IF(B42="Di",Spieltage!$B$34,IF(B42="Mi",Spieltage!$B$35,IF(B42="Do",Spieltage!$B$36,IF(B42="Fr",Spieltage!$B$37,"")))))</f>
      </c>
      <c r="B42" t="str">
        <f>VLOOKUP(9,KLost,3,FALSE)</f>
        <v> </v>
      </c>
      <c r="C42" s="19" t="str">
        <f>VLOOKUP(9,KLost,4,FALSE)</f>
        <v> </v>
      </c>
      <c r="D42" t="str">
        <f>VLOOKUP(9,KLost,2,FALSE)</f>
        <v>spielfrei</v>
      </c>
      <c r="E42" s="18" t="s">
        <v>35</v>
      </c>
      <c r="F42" t="str">
        <f>VLOOKUP(6,KLost,2,FALSE)</f>
        <v>TV Quierschied </v>
      </c>
      <c r="G42" s="17">
        <f>IF(H42="Mo",Spieltage!$F$33,IF(H42="Di",Spieltage!$F$34,IF(H42="Mi",Spieltage!$F$35,IF(H42="Do",Spieltage!$F$36,IF(H42="Fr",Spieltage!$F$37,"")))))</f>
        <v>41687</v>
      </c>
      <c r="H42" t="str">
        <f>VLOOKUP(6,KLost,3,FALSE)</f>
        <v>Mo</v>
      </c>
      <c r="I42" s="19">
        <f>VLOOKUP(6,KLost,4,FALSE)</f>
        <v>0.8125</v>
      </c>
    </row>
    <row r="44" spans="1:9" ht="12.75">
      <c r="A44" s="17">
        <f>IF(B44="Mo",Spieltage!$B$38,IF(B44="Di",Spieltage!$B$39,IF(B44="Mi",Spieltage!$B$40,IF(B44="Do",Spieltage!$B$41,IF(B44="Fr",Spieltage!$B$42,"")))))</f>
        <v>41593</v>
      </c>
      <c r="B44" t="str">
        <f>VLOOKUP(4,KLost,3,FALSE)</f>
        <v>Fr</v>
      </c>
      <c r="C44" s="19">
        <f>VLOOKUP(4,KLost,4,FALSE)</f>
        <v>0.8125</v>
      </c>
      <c r="D44" t="str">
        <f>VLOOKUP(4,KLost,2,FALSE)</f>
        <v>TTC Altenwald 2</v>
      </c>
      <c r="E44" s="18" t="s">
        <v>35</v>
      </c>
      <c r="F44" t="str">
        <f>VLOOKUP(1,KLost,2,FALSE)</f>
        <v>TTZ Altstadt-Kirkel</v>
      </c>
      <c r="G44" s="17">
        <f>IF(H44="Mo",Spieltage!$F$38,IF(H44="Di",Spieltage!$F$39,IF(H44="Mi",Spieltage!$F$40,IF(H44="Do",Spieltage!$F$41,IF(H44="Fr",Spieltage!$F$42,"")))))</f>
        <v>41711</v>
      </c>
      <c r="H44" t="str">
        <f>VLOOKUP(1,KLost,3,FALSE)</f>
        <v>Do</v>
      </c>
      <c r="I44" s="19">
        <f>VLOOKUP(1,KLost,4,FALSE)</f>
        <v>0.8125</v>
      </c>
    </row>
    <row r="45" spans="1:9" ht="12.75">
      <c r="A45" s="17">
        <f>IF(B45="Mo",Spieltage!$B$38,IF(B45="Di",Spieltage!$B$39,IF(B45="Mi",Spieltage!$B$40,IF(B45="Do",Spieltage!$B$41,IF(B45="Fr",Spieltage!$B$42,"")))))</f>
        <v>41593</v>
      </c>
      <c r="B45" t="str">
        <f>VLOOKUP(5,KLost,3,FALSE)</f>
        <v>Fr</v>
      </c>
      <c r="C45" s="19">
        <f>VLOOKUP(5,KLost,4,FALSE)</f>
        <v>0.8125</v>
      </c>
      <c r="D45" t="str">
        <f>VLOOKUP(5,KLost,2,FALSE)</f>
        <v>TuS Rentrisch </v>
      </c>
      <c r="E45" s="18" t="s">
        <v>35</v>
      </c>
      <c r="F45" t="str">
        <f>VLOOKUP(2,KLost,2,FALSE)</f>
        <v>TTG Mandelbachtal</v>
      </c>
      <c r="G45" s="17">
        <f>IF(H45="Mo",Spieltage!$F$38,IF(H45="Di",Spieltage!$F$39,IF(H45="Mi",Spieltage!$F$40,IF(H45="Do",Spieltage!$F$41,IF(H45="Fr",Spieltage!$F$42,"")))))</f>
        <v>41711</v>
      </c>
      <c r="H45" t="str">
        <f>VLOOKUP(2,KLost,3,FALSE)</f>
        <v>Do</v>
      </c>
      <c r="I45" s="19">
        <f>VLOOKUP(2,KLost,4,FALSE)</f>
        <v>0.8125</v>
      </c>
    </row>
    <row r="46" spans="1:9" ht="12.75">
      <c r="A46" s="17">
        <f>IF(B46="Mo",Spieltage!$B$38,IF(B46="Di",Spieltage!$B$39,IF(B46="Mi",Spieltage!$B$40,IF(B46="Do",Spieltage!$B$41,IF(B46="Fr",Spieltage!$B$42,"")))))</f>
        <v>41589</v>
      </c>
      <c r="B46" t="str">
        <f>VLOOKUP(6,KLost,3,FALSE)</f>
        <v>Mo</v>
      </c>
      <c r="C46" s="19">
        <f>VLOOKUP(6,KLost,4,FALSE)</f>
        <v>0.8125</v>
      </c>
      <c r="D46" t="str">
        <f>VLOOKUP(6,KLost,2,FALSE)</f>
        <v>TV Quierschied </v>
      </c>
      <c r="E46" s="18" t="s">
        <v>35</v>
      </c>
      <c r="F46" t="str">
        <f>VLOOKUP(8,KLost,2,FALSE)</f>
        <v>TTC Lautzkirchen</v>
      </c>
      <c r="G46" s="17">
        <f>IF(H46="Mo",Spieltage!$F$38,IF(H46="Di",Spieltage!$F$39,IF(H46="Mi",Spieltage!$F$40,IF(H46="Do",Spieltage!$F$41,IF(H46="Fr",Spieltage!$F$42,"")))))</f>
        <v>41708</v>
      </c>
      <c r="H46" t="str">
        <f>VLOOKUP(8,KLost,3,FALSE)</f>
        <v>Mo</v>
      </c>
      <c r="I46" s="19">
        <f>VLOOKUP(8,KLost,4,FALSE)</f>
        <v>0.8333333333333334</v>
      </c>
    </row>
    <row r="47" spans="1:9" ht="12.75">
      <c r="A47" s="17">
        <f>IF(B47="Mo",Spieltage!$B$38,IF(B47="Di",Spieltage!$B$39,IF(B47="Mi",Spieltage!$B$40,IF(B47="Do",Spieltage!$B$41,IF(B47="Fr",Spieltage!$B$42,"")))))</f>
        <v>41593</v>
      </c>
      <c r="B47" t="str">
        <f>VLOOKUP(7,KLost,3,FALSE)</f>
        <v>Fr</v>
      </c>
      <c r="C47" s="19">
        <f>VLOOKUP(7,KLost,4,FALSE)</f>
        <v>0.8125</v>
      </c>
      <c r="D47" t="str">
        <f>VLOOKUP(7,KLost,2,FALSE)</f>
        <v>TuS Neunkirchen 2   </v>
      </c>
      <c r="E47" s="18" t="s">
        <v>35</v>
      </c>
      <c r="F47" t="str">
        <f>VLOOKUP(9,KLost,2,FALSE)</f>
        <v>spielfrei</v>
      </c>
      <c r="G47" s="17">
        <f>IF(H47="Mo",Spieltage!$F$38,IF(H47="Di",Spieltage!$F$39,IF(H47="Mi",Spieltage!$F$40,IF(H47="Do",Spieltage!$F$41,IF(H47="Fr",Spieltage!$F$42,"")))))</f>
      </c>
      <c r="H47" t="str">
        <f>VLOOKUP(9,KLost,3,FALSE)</f>
        <v> </v>
      </c>
      <c r="I47" s="19" t="str">
        <f>VLOOKUP(9,KLost,4,FALSE)</f>
        <v> </v>
      </c>
    </row>
    <row r="48" spans="1:9" ht="12.75">
      <c r="A48" s="17">
        <f>IF(B48="Mo",Spieltage!$B$38,IF(B48="Di",Spieltage!$B$39,IF(B48="Mi",Spieltage!$B$40,IF(B48="Do",Spieltage!$B$41,IF(B48="Fr",Spieltage!$B$42,"")))))</f>
      </c>
      <c r="B48">
        <f>VLOOKUP(10,KLost,3,FALSE)</f>
        <v>0</v>
      </c>
      <c r="C48" s="19">
        <f>VLOOKUP(10,KLost,4,FALSE)</f>
        <v>0</v>
      </c>
      <c r="D48" t="str">
        <f>VLOOKUP(10,KLost,2,FALSE)</f>
        <v>spielfrei</v>
      </c>
      <c r="E48" s="18" t="s">
        <v>35</v>
      </c>
      <c r="F48" t="str">
        <f>VLOOKUP(3,KLost,2,FALSE)</f>
        <v>TTG Rohrbach-St.Ingbert 2</v>
      </c>
      <c r="G48" s="17">
        <f>IF(H48="Mo",Spieltage!$F$38,IF(H48="Di",Spieltage!$F$39,IF(H48="Mi",Spieltage!$F$40,IF(H48="Do",Spieltage!$F$41,IF(H48="Fr",Spieltage!$F$42,"")))))</f>
        <v>41712</v>
      </c>
      <c r="H48" t="str">
        <f>VLOOKUP(3,KLost,3,FALSE)</f>
        <v>Fr</v>
      </c>
      <c r="I48" s="19">
        <f>VLOOKUP(3,KLost,4,FALSE)</f>
        <v>0.8125</v>
      </c>
    </row>
    <row r="50" spans="1:9" ht="12.75">
      <c r="A50" s="17">
        <f>IF(B50="Mo",Spieltage!$B$43,IF(B50="Di",Spieltage!$B$44,IF(B50="Mi",Spieltage!$B$45,IF(B50="Do",Spieltage!$B$46,IF(B50="Fr",Spieltage!$B$47,"")))))</f>
        <v>40875</v>
      </c>
      <c r="B50" t="str">
        <f>VLOOKUP(1,KLost,3,FALSE)</f>
        <v>Do</v>
      </c>
      <c r="C50" s="19">
        <f>VLOOKUP(1,KLost,4,FALSE)</f>
        <v>0.8125</v>
      </c>
      <c r="D50" t="str">
        <f>VLOOKUP(1,KLost,2,FALSE)</f>
        <v>TTZ Altstadt-Kirkel</v>
      </c>
      <c r="E50" s="18" t="s">
        <v>35</v>
      </c>
      <c r="F50" t="str">
        <f>VLOOKUP(7,KLost,2,FALSE)</f>
        <v>TuS Neunkirchen 2   </v>
      </c>
      <c r="G50" s="17">
        <f>IF(H50="Mo",Spieltage!$F$43,IF(H50="Di",Spieltage!$F$44,IF(H50="Mi",Spieltage!$F$45,IF(H50="Do",Spieltage!$F$46,IF(H50="Fr",Spieltage!$F$47,"")))))</f>
        <v>41726</v>
      </c>
      <c r="H50" t="str">
        <f>VLOOKUP(7,KLost,3,FALSE)</f>
        <v>Fr</v>
      </c>
      <c r="I50" s="19">
        <f>VLOOKUP(7,KLost,4,FALSE)</f>
        <v>0.8125</v>
      </c>
    </row>
    <row r="51" spans="1:9" ht="12.75">
      <c r="A51" s="17">
        <f>IF(B51="Mo",Spieltage!$B$43,IF(B51="Di",Spieltage!$B$44,IF(B51="Mi",Spieltage!$B$45,IF(B51="Do",Spieltage!$B$46,IF(B51="Fr",Spieltage!$B$47,"")))))</f>
        <v>40875</v>
      </c>
      <c r="B51" t="str">
        <f>VLOOKUP(2,KLost,3,FALSE)</f>
        <v>Do</v>
      </c>
      <c r="C51" s="19">
        <f>VLOOKUP(2,KLost,4,FALSE)</f>
        <v>0.8125</v>
      </c>
      <c r="D51" t="str">
        <f>VLOOKUP(2,KLost,2,FALSE)</f>
        <v>TTG Mandelbachtal</v>
      </c>
      <c r="E51" s="18" t="s">
        <v>35</v>
      </c>
      <c r="F51" t="str">
        <f>VLOOKUP(6,KLost,2,FALSE)</f>
        <v>TV Quierschied </v>
      </c>
      <c r="G51" s="17">
        <f>IF(H51="Mo",Spieltage!$F$43,IF(H51="Di",Spieltage!$F$44,IF(H51="Mi",Spieltage!$F$45,IF(H51="Do",Spieltage!$F$46,IF(H51="Fr",Spieltage!$F$47,"")))))</f>
        <v>41722</v>
      </c>
      <c r="H51" t="str">
        <f>VLOOKUP(6,KLost,3,FALSE)</f>
        <v>Mo</v>
      </c>
      <c r="I51" s="19">
        <f>VLOOKUP(6,KLost,4,FALSE)</f>
        <v>0.8125</v>
      </c>
    </row>
    <row r="52" spans="1:9" ht="12.75">
      <c r="A52" s="17">
        <f>IF(B52="Mo",Spieltage!$B$43,IF(B52="Di",Spieltage!$B$44,IF(B52="Mi",Spieltage!$B$45,IF(B52="Do",Spieltage!$B$46,IF(B52="Fr",Spieltage!$B$47,"")))))</f>
        <v>40876</v>
      </c>
      <c r="B52" t="str">
        <f>VLOOKUP(3,KLost,3,FALSE)</f>
        <v>Fr</v>
      </c>
      <c r="C52" s="19">
        <f>VLOOKUP(3,KLost,4,FALSE)</f>
        <v>0.8125</v>
      </c>
      <c r="D52" t="str">
        <f>VLOOKUP(3,KLost,2,FALSE)</f>
        <v>TTG Rohrbach-St.Ingbert 2</v>
      </c>
      <c r="E52" s="18" t="s">
        <v>35</v>
      </c>
      <c r="F52" t="str">
        <f>VLOOKUP(5,KLost,2,FALSE)</f>
        <v>TuS Rentrisch </v>
      </c>
      <c r="G52" s="17">
        <f>IF(H52="Mo",Spieltage!$F$43,IF(H52="Di",Spieltage!$F$44,IF(H52="Mi",Spieltage!$F$45,IF(H52="Do",Spieltage!$F$46,IF(H52="Fr",Spieltage!$F$47,"")))))</f>
        <v>41726</v>
      </c>
      <c r="H52" t="str">
        <f>VLOOKUP(5,KLost,3,FALSE)</f>
        <v>Fr</v>
      </c>
      <c r="I52" s="19">
        <f>VLOOKUP(5,KLost,4,FALSE)</f>
        <v>0.8125</v>
      </c>
    </row>
    <row r="53" spans="1:9" ht="12.75">
      <c r="A53" s="17">
        <f>IF(B53="Mo",Spieltage!$B$43,IF(B53="Di",Spieltage!$B$44,IF(B53="Mi",Spieltage!$B$45,IF(B53="Do",Spieltage!$B$46,IF(B53="Fr",Spieltage!$B$47,"")))))</f>
        <v>40876</v>
      </c>
      <c r="B53" t="str">
        <f>VLOOKUP(4,KLost,3,FALSE)</f>
        <v>Fr</v>
      </c>
      <c r="C53" s="19">
        <f>VLOOKUP(4,KLost,4,FALSE)</f>
        <v>0.8125</v>
      </c>
      <c r="D53" t="str">
        <f>VLOOKUP(4,KLost,2,FALSE)</f>
        <v>TTC Altenwald 2</v>
      </c>
      <c r="E53" s="18" t="s">
        <v>35</v>
      </c>
      <c r="F53" t="str">
        <f>VLOOKUP(10,KLost,2,FALSE)</f>
        <v>spielfrei</v>
      </c>
      <c r="G53" s="17">
        <f>IF(H53="Mo",Spieltage!$F$43,IF(H53="Di",Spieltage!$F$44,IF(H53="Mi",Spieltage!$F$45,IF(H53="Do",Spieltage!$F$46,IF(H53="Fr",Spieltage!$F$47,"")))))</f>
      </c>
      <c r="H53">
        <f>VLOOKUP(10,KLost,3,FALSE)</f>
        <v>0</v>
      </c>
      <c r="I53" s="19">
        <f>VLOOKUP(10,KLost,4,FALSE)</f>
        <v>0</v>
      </c>
    </row>
    <row r="54" spans="1:9" ht="12.75">
      <c r="A54" s="17">
        <f>IF(B54="Mo",Spieltage!$B$43,IF(B54="Di",Spieltage!$B$44,IF(B54="Mi",Spieltage!$B$45,IF(B54="Do",Spieltage!$B$46,IF(B54="Fr",Spieltage!$B$47,"")))))</f>
      </c>
      <c r="B54" t="str">
        <f>VLOOKUP(9,KLost,3,FALSE)</f>
        <v> </v>
      </c>
      <c r="C54" s="19" t="str">
        <f>VLOOKUP(9,KLost,4,FALSE)</f>
        <v> </v>
      </c>
      <c r="D54" t="str">
        <f>VLOOKUP(9,KLost,2,FALSE)</f>
        <v>spielfrei</v>
      </c>
      <c r="E54" s="18" t="s">
        <v>35</v>
      </c>
      <c r="F54" t="str">
        <f>VLOOKUP(8,KLost,2,FALSE)</f>
        <v>TTC Lautzkirchen</v>
      </c>
      <c r="G54" s="17">
        <f>IF(H54="Mo",Spieltage!$F$43,IF(H54="Di",Spieltage!$F$44,IF(H54="Mi",Spieltage!$F$45,IF(H54="Do",Spieltage!$F$46,IF(H54="Fr",Spieltage!$F$47,"")))))</f>
        <v>41722</v>
      </c>
      <c r="H54" t="str">
        <f>VLOOKUP(8,KLost,3,FALSE)</f>
        <v>Mo</v>
      </c>
      <c r="I54" s="19">
        <f>VLOOKUP(8,KLost,4,FALSE)</f>
        <v>0.8333333333333334</v>
      </c>
    </row>
    <row r="56" spans="1:9" ht="12.75">
      <c r="A56" s="17">
        <f>IF(B56="Mo",Spieltage!$B$48,IF(B56="Di",Spieltage!$B$49,IF(B56="Mi",Spieltage!$B$50,IF(B56="Do",Spieltage!$B$51,IF(B56="Fr",Spieltage!$B$52,"")))))</f>
        <v>41614</v>
      </c>
      <c r="B56" t="str">
        <f>VLOOKUP(5,KLost,3,FALSE)</f>
        <v>Fr</v>
      </c>
      <c r="C56" s="19">
        <f>VLOOKUP(5,KLost,4,FALSE)</f>
        <v>0.8125</v>
      </c>
      <c r="D56" t="str">
        <f>VLOOKUP(5,KLost,2,FALSE)</f>
        <v>TuS Rentrisch </v>
      </c>
      <c r="E56" s="18" t="s">
        <v>35</v>
      </c>
      <c r="F56" t="str">
        <f>VLOOKUP(4,KLost,2,FALSE)</f>
        <v>TTC Altenwald 2</v>
      </c>
      <c r="G56" s="17">
        <f>IF(H56="Mo",Spieltage!$F$48,IF(H56="Di",Spieltage!$F$49,IF(H56="Mi",Spieltage!$F$50,IF(H56="Do",Spieltage!$F$51,IF(H56="Fr",Spieltage!$F$52,"")))))</f>
        <v>41733</v>
      </c>
      <c r="H56" t="str">
        <f>VLOOKUP(4,KLost,3,FALSE)</f>
        <v>Fr</v>
      </c>
      <c r="I56" s="19">
        <f>VLOOKUP(4,KLost,4,FALSE)</f>
        <v>0.8125</v>
      </c>
    </row>
    <row r="57" spans="1:9" ht="12.75">
      <c r="A57" s="17">
        <f>IF(B57="Mo",Spieltage!$B$48,IF(B57="Di",Spieltage!$B$49,IF(B57="Mi",Spieltage!$B$50,IF(B57="Do",Spieltage!$B$51,IF(B57="Fr",Spieltage!$B$52,"")))))</f>
        <v>41610</v>
      </c>
      <c r="B57" t="str">
        <f>VLOOKUP(6,KLost,3,FALSE)</f>
        <v>Mo</v>
      </c>
      <c r="C57" s="19">
        <f>VLOOKUP(6,KLost,4,FALSE)</f>
        <v>0.8125</v>
      </c>
      <c r="D57" t="str">
        <f>VLOOKUP(6,KLost,2,FALSE)</f>
        <v>TV Quierschied </v>
      </c>
      <c r="E57" s="18" t="s">
        <v>35</v>
      </c>
      <c r="F57" t="str">
        <f>VLOOKUP(3,KLost,2,FALSE)</f>
        <v>TTG Rohrbach-St.Ingbert 2</v>
      </c>
      <c r="G57" s="17">
        <f>IF(H57="Mo",Spieltage!$F$48,IF(H57="Di",Spieltage!$F$49,IF(H57="Mi",Spieltage!$F$50,IF(H57="Do",Spieltage!$F$51,IF(H57="Fr",Spieltage!$F$52,"")))))</f>
        <v>41733</v>
      </c>
      <c r="H57" t="str">
        <f>VLOOKUP(3,KLost,3,FALSE)</f>
        <v>Fr</v>
      </c>
      <c r="I57" s="19">
        <f>VLOOKUP(3,KLost,4,FALSE)</f>
        <v>0.8125</v>
      </c>
    </row>
    <row r="58" spans="1:9" ht="12.75">
      <c r="A58" s="17">
        <f>IF(B58="Mo",Spieltage!$B$48,IF(B58="Di",Spieltage!$B$49,IF(B58="Mi",Spieltage!$B$50,IF(B58="Do",Spieltage!$B$51,IF(B58="Fr",Spieltage!$B$52,"")))))</f>
        <v>41614</v>
      </c>
      <c r="B58" t="str">
        <f>VLOOKUP(7,KLost,3,FALSE)</f>
        <v>Fr</v>
      </c>
      <c r="C58" s="19">
        <f>VLOOKUP(7,KLost,4,FALSE)</f>
        <v>0.8125</v>
      </c>
      <c r="D58" t="str">
        <f>VLOOKUP(7,KLost,2,FALSE)</f>
        <v>TuS Neunkirchen 2   </v>
      </c>
      <c r="E58" s="18" t="s">
        <v>35</v>
      </c>
      <c r="F58" t="str">
        <f>VLOOKUP(2,KLost,2,FALSE)</f>
        <v>TTG Mandelbachtal</v>
      </c>
      <c r="G58" s="17">
        <f>IF(H58="Mo",Spieltage!$F$48,IF(H58="Di",Spieltage!$F$49,IF(H58="Mi",Spieltage!$F$50,IF(H58="Do",Spieltage!$F$51,IF(H58="Fr",Spieltage!$F$52,"")))))</f>
        <v>41732</v>
      </c>
      <c r="H58" t="str">
        <f>VLOOKUP(2,KLost,3,FALSE)</f>
        <v>Do</v>
      </c>
      <c r="I58" s="19">
        <f>VLOOKUP(2,KLost,4,FALSE)</f>
        <v>0.8125</v>
      </c>
    </row>
    <row r="59" spans="1:9" ht="12.75">
      <c r="A59" s="17">
        <f>IF(B59="Mo",Spieltage!$B$48,IF(B59="Di",Spieltage!$B$49,IF(B59="Mi",Spieltage!$B$50,IF(B59="Do",Spieltage!$B$51,IF(B59="Fr",Spieltage!$B$52,"")))))</f>
        <v>41610</v>
      </c>
      <c r="B59" t="str">
        <f>VLOOKUP(8,KLost,3,FALSE)</f>
        <v>Mo</v>
      </c>
      <c r="C59" s="19">
        <f>VLOOKUP(8,KLost,4,FALSE)</f>
        <v>0.8333333333333334</v>
      </c>
      <c r="D59" t="str">
        <f>VLOOKUP(8,KLost,2,FALSE)</f>
        <v>TTC Lautzkirchen</v>
      </c>
      <c r="E59" s="18" t="s">
        <v>35</v>
      </c>
      <c r="F59" t="str">
        <f>VLOOKUP(1,KLost,2,FALSE)</f>
        <v>TTZ Altstadt-Kirkel</v>
      </c>
      <c r="G59" s="17">
        <f>IF(H59="Mo",Spieltage!$F$48,IF(H59="Di",Spieltage!$F$49,IF(H59="Mi",Spieltage!$F$50,IF(H59="Do",Spieltage!$F$51,IF(H59="Fr",Spieltage!$F$52,"")))))</f>
        <v>41732</v>
      </c>
      <c r="H59" t="str">
        <f>VLOOKUP(1,KLost,3,FALSE)</f>
        <v>Do</v>
      </c>
      <c r="I59" s="19">
        <f>VLOOKUP(1,KLost,4,FALSE)</f>
        <v>0.8125</v>
      </c>
    </row>
    <row r="60" spans="1:9" ht="12.75">
      <c r="A60" s="17">
        <f>IF(B60="Mo",Spieltage!$B$48,IF(B60="Di",Spieltage!$B$49,IF(B60="Mi",Spieltage!$B$50,IF(B60="Do",Spieltage!$B$51,IF(B60="Fr",Spieltage!$B$52,"")))))</f>
      </c>
      <c r="B60">
        <f>VLOOKUP(10,KLost,3,FALSE)</f>
        <v>0</v>
      </c>
      <c r="C60" s="19">
        <f>VLOOKUP(10,KLost,4,FALSE)</f>
        <v>0</v>
      </c>
      <c r="D60" t="str">
        <f>VLOOKUP(10,KLost,2,FALSE)</f>
        <v>spielfrei</v>
      </c>
      <c r="E60" s="18" t="s">
        <v>35</v>
      </c>
      <c r="F60" t="str">
        <f>VLOOKUP(9,KLost,2,FALSE)</f>
        <v>spielfrei</v>
      </c>
      <c r="G60" s="17">
        <f>IF(H60="Mo",Spieltage!$F$48,IF(H60="Di",Spieltage!$F$49,IF(H60="Mi",Spieltage!$F$50,IF(H60="Do",Spieltage!$F$51,IF(H60="Fr",Spieltage!$F$52,"")))))</f>
      </c>
      <c r="H60" t="str">
        <f>VLOOKUP(9,KLost,3,FALSE)</f>
        <v> </v>
      </c>
      <c r="I60" s="19" t="str">
        <f>VLOOKUP(9,KLost,4,FALSE)</f>
        <v> </v>
      </c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2" sqref="A2"/>
    </sheetView>
  </sheetViews>
  <sheetFormatPr defaultColWidth="11.421875" defaultRowHeight="12.75"/>
  <cols>
    <col min="1" max="1" width="10.28125" style="0" customWidth="1"/>
    <col min="2" max="2" width="3.7109375" style="0" customWidth="1"/>
    <col min="3" max="3" width="5.7109375" style="0" customWidth="1"/>
    <col min="4" max="4" width="21.7109375" style="0" customWidth="1"/>
    <col min="5" max="5" width="1.7109375" style="0" customWidth="1"/>
    <col min="6" max="6" width="21.7109375" style="0" customWidth="1"/>
    <col min="7" max="7" width="10.28125" style="0" customWidth="1"/>
    <col min="8" max="8" width="3.7109375" style="0" customWidth="1"/>
    <col min="9" max="9" width="5.7109375" style="0" customWidth="1"/>
  </cols>
  <sheetData>
    <row r="1" spans="1:9" ht="12.75">
      <c r="A1" s="1" t="s">
        <v>31</v>
      </c>
      <c r="I1" s="20" t="s">
        <v>32</v>
      </c>
    </row>
    <row r="2" ht="15.75">
      <c r="D2" s="4" t="s">
        <v>20</v>
      </c>
    </row>
    <row r="4" spans="1:4" ht="15.75">
      <c r="A4" s="4" t="s">
        <v>33</v>
      </c>
      <c r="D4" s="1" t="str">
        <f>Spieltage!A3&amp;" "&amp;Spieltage!B3</f>
        <v>Saison 2013/2014</v>
      </c>
    </row>
    <row r="6" spans="1:7" ht="12.75">
      <c r="A6" s="1" t="s">
        <v>28</v>
      </c>
      <c r="G6" s="1" t="s">
        <v>30</v>
      </c>
    </row>
    <row r="8" spans="1:9" ht="12.75">
      <c r="A8" s="17">
        <f>IF(B8="Mo",Spieltage!$B$8,IF(B8="Di",Spieltage!$B$9,IF(B8="Mi",Spieltage!$B$10,IF(B8="Do",Spieltage!$B$11,IF(B8="Fr",Spieltage!$B$12,"")))))</f>
        <v>41529</v>
      </c>
      <c r="B8" t="str">
        <f>VLOOKUP(1,KLost,3,FALSE)</f>
        <v>Do</v>
      </c>
      <c r="C8" s="19">
        <f>VLOOKUP(1,KLost,4,FALSE)</f>
        <v>0.8125</v>
      </c>
      <c r="D8" t="str">
        <f>VLOOKUP(1,KLost,2,FALSE)</f>
        <v>TTZ Altstadt-Kirkel</v>
      </c>
      <c r="E8" s="18" t="s">
        <v>35</v>
      </c>
      <c r="F8" t="str">
        <f>VLOOKUP(8,KLost,2,FALSE)</f>
        <v>TTC Lautzkirchen</v>
      </c>
      <c r="G8" s="17">
        <f>IF(H8="Mo",Spieltage!$F$8,IF(H8="Di",Spieltage!$F$9,IF(H8="Mi",Spieltage!$F$10,IF(H8="Do",Spieltage!$F$11,IF(H8="Fr",Spieltage!$F$12,"")))))</f>
        <v>41645</v>
      </c>
      <c r="H8" t="str">
        <f>VLOOKUP(8,KLost,3,FALSE)</f>
        <v>Mo</v>
      </c>
      <c r="I8" s="19">
        <f>VLOOKUP(8,KLost,4,FALSE)</f>
        <v>0.8333333333333334</v>
      </c>
    </row>
    <row r="9" spans="1:9" ht="12.75">
      <c r="A9" s="17">
        <f>IF(B9="Mo",Spieltage!$B$8,IF(B9="Di",Spieltage!$B$9,IF(B9="Mi",Spieltage!$B$10,IF(B9="Do",Spieltage!$B$11,IF(B9="Fr",Spieltage!$B$12,"")))))</f>
        <v>41529</v>
      </c>
      <c r="B9" t="str">
        <f>VLOOKUP(2,KLost,3,FALSE)</f>
        <v>Do</v>
      </c>
      <c r="C9" s="19">
        <f>VLOOKUP(2,KLost,4,FALSE)</f>
        <v>0.8125</v>
      </c>
      <c r="D9" t="str">
        <f>VLOOKUP(2,KLost,2,FALSE)</f>
        <v>TTG Mandelbachtal</v>
      </c>
      <c r="E9" s="18" t="s">
        <v>35</v>
      </c>
      <c r="F9" t="str">
        <f>VLOOKUP(7,KLost,2,FALSE)</f>
        <v>TuS Neunkirchen 2   </v>
      </c>
      <c r="G9" s="17">
        <f>IF(H9="Mo",Spieltage!$F$8,IF(H9="Di",Spieltage!$F$9,IF(H9="Mi",Spieltage!$F$10,IF(H9="Do",Spieltage!$F$11,IF(H9="Fr",Spieltage!$F$12,"")))))</f>
        <v>41649</v>
      </c>
      <c r="H9" t="str">
        <f>VLOOKUP(7,KLost,3,FALSE)</f>
        <v>Fr</v>
      </c>
      <c r="I9" s="19">
        <f>VLOOKUP(7,KLost,4,FALSE)</f>
        <v>0.8125</v>
      </c>
    </row>
    <row r="10" spans="1:9" ht="12.75">
      <c r="A10" s="17">
        <f>IF(B10="Mo",Spieltage!$B$8,IF(B10="Di",Spieltage!$B$9,IF(B10="Mi",Spieltage!$B$10,IF(B10="Do",Spieltage!$B$11,IF(B10="Fr",Spieltage!$B$12,"")))))</f>
        <v>41530</v>
      </c>
      <c r="B10" t="str">
        <f>VLOOKUP(3,KLost,3,FALSE)</f>
        <v>Fr</v>
      </c>
      <c r="C10" s="19">
        <f>VLOOKUP(3,KLost,4,FALSE)</f>
        <v>0.8125</v>
      </c>
      <c r="D10" t="str">
        <f>VLOOKUP(3,KLost,2,FALSE)</f>
        <v>TTG Rohrbach-St.Ingbert 2</v>
      </c>
      <c r="E10" s="18" t="s">
        <v>35</v>
      </c>
      <c r="F10" t="str">
        <f>VLOOKUP(6,KLost,2,FALSE)</f>
        <v>TV Quierschied </v>
      </c>
      <c r="G10" s="17">
        <f>IF(H10="Mo",Spieltage!$F$8,IF(H10="Di",Spieltage!$F$9,IF(H10="Mi",Spieltage!$F$10,IF(H10="Do",Spieltage!$F$11,IF(H10="Fr",Spieltage!$F$12,"")))))</f>
        <v>41645</v>
      </c>
      <c r="H10" t="str">
        <f>VLOOKUP(6,KLost,3,FALSE)</f>
        <v>Mo</v>
      </c>
      <c r="I10" s="19">
        <f>VLOOKUP(6,KLost,4,FALSE)</f>
        <v>0.8125</v>
      </c>
    </row>
    <row r="11" spans="1:9" ht="12.75">
      <c r="A11" s="17">
        <f>IF(B11="Mo",Spieltage!$B$8,IF(B11="Di",Spieltage!$B$9,IF(B11="Mi",Spieltage!$B$10,IF(B11="Do",Spieltage!$B$11,IF(B11="Fr",Spieltage!$B$12,"")))))</f>
        <v>41530</v>
      </c>
      <c r="B11" t="str">
        <f>VLOOKUP(4,KLost,3,FALSE)</f>
        <v>Fr</v>
      </c>
      <c r="C11" s="19">
        <f>VLOOKUP(4,KLost,4,FALSE)</f>
        <v>0.8125</v>
      </c>
      <c r="D11" t="str">
        <f>VLOOKUP(4,KLost,2,FALSE)</f>
        <v>TTC Altenwald 2</v>
      </c>
      <c r="E11" s="18" t="s">
        <v>35</v>
      </c>
      <c r="F11" t="str">
        <f>VLOOKUP(5,KLost,2,FALSE)</f>
        <v>TuS Rentrisch </v>
      </c>
      <c r="G11" s="17">
        <f>IF(H11="Mo",Spieltage!$F$8,IF(H11="Di",Spieltage!$F$9,IF(H11="Mi",Spieltage!$F$10,IF(H11="Do",Spieltage!$F$11,IF(H11="Fr",Spieltage!$F$12,"")))))</f>
        <v>41649</v>
      </c>
      <c r="H11" t="str">
        <f>VLOOKUP(5,KLost,3,FALSE)</f>
        <v>Fr</v>
      </c>
      <c r="I11" s="19">
        <f>VLOOKUP(5,KLost,4,FALSE)</f>
        <v>0.8125</v>
      </c>
    </row>
    <row r="12" spans="1:9" ht="12.75">
      <c r="A12" s="17">
        <f>IF(B12="Mo",Spieltage!$B$8,IF(B12="Di",Spieltage!$B$9,IF(B12="Mi",Spieltage!$B$10,IF(B12="Do",Spieltage!$B$11,IF(B12="Fr",Spieltage!$B$12,"")))))</f>
      </c>
      <c r="C12" s="19"/>
      <c r="E12" s="18"/>
      <c r="G12" s="17"/>
      <c r="I12" s="19"/>
    </row>
    <row r="13" ht="12.75">
      <c r="E13" s="18"/>
    </row>
    <row r="14" spans="1:9" ht="12.75">
      <c r="A14" s="17">
        <f>IF(B14="Mo",Spieltage!$B$13,IF(B14="Di",Spieltage!$B$14,IF(B14="Mi",Spieltage!$B$15,IF(B14="Do",Spieltage!$B$16,IF(B14="Fr",Spieltage!$B$17,"")))))</f>
        <v>41536</v>
      </c>
      <c r="B14" t="str">
        <f>VLOOKUP(1,KLost,3,FALSE)</f>
        <v>Do</v>
      </c>
      <c r="C14" s="19">
        <f>VLOOKUP(1,KLost,4,FALSE)</f>
        <v>0.8125</v>
      </c>
      <c r="D14" t="str">
        <f>VLOOKUP(1,KLost,2,FALSE)</f>
        <v>TTZ Altstadt-Kirkel</v>
      </c>
      <c r="E14" s="18" t="s">
        <v>35</v>
      </c>
      <c r="F14" t="str">
        <f>VLOOKUP(2,KLost,2,FALSE)</f>
        <v>TTG Mandelbachtal</v>
      </c>
      <c r="G14" s="17">
        <f>IF(H14="Mo",Spieltage!$F$13,IF(H14="Di",Spieltage!$F$14,IF(H14="Mi",Spieltage!$F$15,IF(H14="Do",Spieltage!$F$16,IF(H14="Fr",Spieltage!$F$17,"")))))</f>
        <v>41662</v>
      </c>
      <c r="H14" t="str">
        <f>VLOOKUP(2,KLost,3,FALSE)</f>
        <v>Do</v>
      </c>
      <c r="I14" s="19">
        <f>VLOOKUP(2,KLost,4,FALSE)</f>
        <v>0.8125</v>
      </c>
    </row>
    <row r="15" spans="1:9" ht="12.75">
      <c r="A15" s="17">
        <f>IF(B15="Mo",Spieltage!$B$13,IF(B15="Di",Spieltage!$B$14,IF(B15="Mi",Spieltage!$B$15,IF(B15="Do",Spieltage!$B$16,IF(B15="Fr",Spieltage!$B$17,"")))))</f>
        <v>41533</v>
      </c>
      <c r="B15" t="str">
        <f>VLOOKUP(6,KLost,3,FALSE)</f>
        <v>Mo</v>
      </c>
      <c r="C15" s="19">
        <f>VLOOKUP(6,KLost,4,FALSE)</f>
        <v>0.8125</v>
      </c>
      <c r="D15" t="str">
        <f>VLOOKUP(6,KLost,2,FALSE)</f>
        <v>TV Quierschied </v>
      </c>
      <c r="E15" s="18" t="s">
        <v>35</v>
      </c>
      <c r="F15" t="str">
        <f>VLOOKUP(4,KLost,2,FALSE)</f>
        <v>TTC Altenwald 2</v>
      </c>
      <c r="G15" s="17">
        <f>IF(H15="Mo",Spieltage!$F$13,IF(H15="Di",Spieltage!$F$14,IF(H15="Mi",Spieltage!$F$15,IF(H15="Do",Spieltage!$F$16,IF(H15="Fr",Spieltage!$F$17,"")))))</f>
        <v>41663</v>
      </c>
      <c r="H15" t="str">
        <f>VLOOKUP(4,KLost,3,FALSE)</f>
        <v>Fr</v>
      </c>
      <c r="I15" s="19">
        <f>VLOOKUP(4,KLost,4,FALSE)</f>
        <v>0.8125</v>
      </c>
    </row>
    <row r="16" spans="1:9" ht="12.75">
      <c r="A16" s="17">
        <f>IF(B16="Mo",Spieltage!$B$13,IF(B16="Di",Spieltage!$B$14,IF(B16="Mi",Spieltage!$B$15,IF(B16="Do",Spieltage!$B$16,IF(B16="Fr",Spieltage!$B$17,"")))))</f>
        <v>41537</v>
      </c>
      <c r="B16" t="str">
        <f>VLOOKUP(7,KLost,3,FALSE)</f>
        <v>Fr</v>
      </c>
      <c r="C16" s="19">
        <f>VLOOKUP(7,KLost,4,FALSE)</f>
        <v>0.8125</v>
      </c>
      <c r="D16" t="str">
        <f>VLOOKUP(7,KLost,2,FALSE)</f>
        <v>TuS Neunkirchen 2   </v>
      </c>
      <c r="E16" s="18" t="s">
        <v>35</v>
      </c>
      <c r="F16" t="str">
        <f>VLOOKUP(3,KLost,2,FALSE)</f>
        <v>TTG Rohrbach-St.Ingbert 2</v>
      </c>
      <c r="G16" s="17">
        <f>IF(H16="Mo",Spieltage!$F$13,IF(H16="Di",Spieltage!$F$14,IF(H16="Mi",Spieltage!$F$15,IF(H16="Do",Spieltage!$F$16,IF(H16="Fr",Spieltage!$F$17,"")))))</f>
        <v>41663</v>
      </c>
      <c r="H16" t="str">
        <f>VLOOKUP(3,KLost,3,FALSE)</f>
        <v>Fr</v>
      </c>
      <c r="I16" s="19">
        <f>VLOOKUP(3,KLost,4,FALSE)</f>
        <v>0.8125</v>
      </c>
    </row>
    <row r="17" spans="1:9" ht="12.75">
      <c r="A17" s="17">
        <f>IF(B17="Mo",Spieltage!$B$13,IF(B17="Di",Spieltage!$B$14,IF(B17="Mi",Spieltage!$B$15,IF(B17="Do",Spieltage!$B$16,IF(B17="Fr",Spieltage!$B$17,"")))))</f>
        <v>41533</v>
      </c>
      <c r="B17" t="str">
        <f>VLOOKUP(8,KLost,3,FALSE)</f>
        <v>Mo</v>
      </c>
      <c r="C17" s="19">
        <f>VLOOKUP(8,KLost,4,FALSE)</f>
        <v>0.8333333333333334</v>
      </c>
      <c r="D17" t="str">
        <f>VLOOKUP(8,KLost,2,FALSE)</f>
        <v>TTC Lautzkirchen</v>
      </c>
      <c r="E17" s="18" t="s">
        <v>35</v>
      </c>
      <c r="F17" t="str">
        <f>VLOOKUP(5,KLost,2,FALSE)</f>
        <v>TuS Rentrisch </v>
      </c>
      <c r="G17" s="17">
        <f>IF(H17="Mo",Spieltage!$F$13,IF(H17="Di",Spieltage!$F$14,IF(H17="Mi",Spieltage!$F$15,IF(H17="Do",Spieltage!$F$16,IF(H17="Fr",Spieltage!$F$17,"")))))</f>
        <v>41663</v>
      </c>
      <c r="H17" t="str">
        <f>VLOOKUP(5,KLost,3,FALSE)</f>
        <v>Fr</v>
      </c>
      <c r="I17" s="19">
        <f>VLOOKUP(5,KLost,4,FALSE)</f>
        <v>0.8125</v>
      </c>
    </row>
    <row r="18" spans="1:9" ht="12.75">
      <c r="A18" s="17">
        <f>IF(B18="Mo",Spieltage!$B$13,IF(B18="Di",Spieltage!$B$14,IF(B18="Mi",Spieltage!$B$15,IF(B18="Do",Spieltage!$B$16,IF(B18="Fr",Spieltage!$B$17,"")))))</f>
      </c>
      <c r="C18" s="19"/>
      <c r="E18" s="18"/>
      <c r="G18" s="17"/>
      <c r="I18" s="19"/>
    </row>
    <row r="20" spans="1:9" ht="12.75">
      <c r="A20" s="17">
        <f>IF(B20="Mo",Spieltage!$B$18,IF(B20="Di",Spieltage!$B$19,IF(B20="Mi",Spieltage!$B$20,IF(B20="Do",Spieltage!$B$21,IF(B20="Fr",Spieltage!$B$22,"")))))</f>
        <v>41543</v>
      </c>
      <c r="B20" t="str">
        <f>VLOOKUP(2,KLost,3,FALSE)</f>
        <v>Do</v>
      </c>
      <c r="C20" s="19">
        <f>VLOOKUP(2,KLost,4,FALSE)</f>
        <v>0.8125</v>
      </c>
      <c r="D20" t="str">
        <f>VLOOKUP(2,KLost,2,FALSE)</f>
        <v>TTG Mandelbachtal</v>
      </c>
      <c r="E20" s="18" t="s">
        <v>35</v>
      </c>
      <c r="F20" t="str">
        <f>VLOOKUP(8,KLost,2,FALSE)</f>
        <v>TTC Lautzkirchen</v>
      </c>
      <c r="G20" s="17">
        <f>IF(H20="Mo",Spieltage!$F$18,IF(H20="Di",Spieltage!$F$19,IF(H20="Mi",Spieltage!$F$20,IF(H20="Do",Spieltage!$F$21,IF(H20="Fr",Spieltage!$F$22,"")))))</f>
        <v>41666</v>
      </c>
      <c r="H20" t="str">
        <f>VLOOKUP(8,KLost,3,FALSE)</f>
        <v>Mo</v>
      </c>
      <c r="I20" s="19">
        <f>VLOOKUP(8,KLost,4,FALSE)</f>
        <v>0.8333333333333334</v>
      </c>
    </row>
    <row r="21" spans="1:9" ht="12.75">
      <c r="A21" s="17">
        <f>IF(B21="Mo",Spieltage!$B$18,IF(B21="Di",Spieltage!$B$19,IF(B21="Mi",Spieltage!$B$20,IF(B21="Do",Spieltage!$B$21,IF(B21="Fr",Spieltage!$B$22,"")))))</f>
        <v>41544</v>
      </c>
      <c r="B21" t="str">
        <f>VLOOKUP(3,KLost,3,FALSE)</f>
        <v>Fr</v>
      </c>
      <c r="C21" s="19">
        <f>VLOOKUP(3,KLost,4,FALSE)</f>
        <v>0.8125</v>
      </c>
      <c r="D21" t="str">
        <f>VLOOKUP(3,KLost,2,FALSE)</f>
        <v>TTG Rohrbach-St.Ingbert 2</v>
      </c>
      <c r="E21" s="18" t="s">
        <v>35</v>
      </c>
      <c r="F21" t="str">
        <f>VLOOKUP(1,KLost,2,FALSE)</f>
        <v>TTZ Altstadt-Kirkel</v>
      </c>
      <c r="G21" s="17">
        <f>IF(H21="Mo",Spieltage!$F$18,IF(H21="Di",Spieltage!$F$19,IF(H21="Mi",Spieltage!$F$20,IF(H21="Do",Spieltage!$F$21,IF(H21="Fr",Spieltage!$F$22,"")))))</f>
        <v>41669</v>
      </c>
      <c r="H21" t="str">
        <f>VLOOKUP(1,KLost,3,FALSE)</f>
        <v>Do</v>
      </c>
      <c r="I21" s="19">
        <f>VLOOKUP(1,KLost,4,FALSE)</f>
        <v>0.8125</v>
      </c>
    </row>
    <row r="22" spans="1:9" ht="12.75">
      <c r="A22" s="17">
        <f>IF(B22="Mo",Spieltage!$B$18,IF(B22="Di",Spieltage!$B$19,IF(B22="Mi",Spieltage!$B$20,IF(B22="Do",Spieltage!$B$21,IF(B22="Fr",Spieltage!$B$22,"")))))</f>
        <v>41544</v>
      </c>
      <c r="B22" t="str">
        <f>VLOOKUP(4,KLost,3,FALSE)</f>
        <v>Fr</v>
      </c>
      <c r="C22" s="19">
        <f>VLOOKUP(4,KLost,4,FALSE)</f>
        <v>0.8125</v>
      </c>
      <c r="D22" t="str">
        <f>VLOOKUP(4,KLost,2,FALSE)</f>
        <v>TTC Altenwald 2</v>
      </c>
      <c r="E22" s="18" t="s">
        <v>35</v>
      </c>
      <c r="F22" t="str">
        <f>VLOOKUP(7,KLost,2,FALSE)</f>
        <v>TuS Neunkirchen 2   </v>
      </c>
      <c r="G22" s="17">
        <f>IF(H22="Mo",Spieltage!$F$18,IF(H22="Di",Spieltage!$F$19,IF(H22="Mi",Spieltage!$F$20,IF(H22="Do",Spieltage!$F$21,IF(H22="Fr",Spieltage!$F$22,"")))))</f>
        <v>41670</v>
      </c>
      <c r="H22" t="str">
        <f>VLOOKUP(7,KLost,3,FALSE)</f>
        <v>Fr</v>
      </c>
      <c r="I22" s="19">
        <f>VLOOKUP(7,KLost,4,FALSE)</f>
        <v>0.8125</v>
      </c>
    </row>
    <row r="23" spans="1:9" ht="12.75">
      <c r="A23" s="17">
        <f>IF(B23="Mo",Spieltage!$B$18,IF(B23="Di",Spieltage!$B$19,IF(B23="Mi",Spieltage!$B$20,IF(B23="Do",Spieltage!$B$21,IF(B23="Fr",Spieltage!$B$22,"")))))</f>
        <v>41544</v>
      </c>
      <c r="B23" t="str">
        <f>VLOOKUP(5,KLost,3,FALSE)</f>
        <v>Fr</v>
      </c>
      <c r="C23" s="19">
        <f>VLOOKUP(5,KLost,4,FALSE)</f>
        <v>0.8125</v>
      </c>
      <c r="D23" t="str">
        <f>VLOOKUP(5,KLost,2,FALSE)</f>
        <v>TuS Rentrisch </v>
      </c>
      <c r="E23" s="18" t="s">
        <v>35</v>
      </c>
      <c r="F23" t="str">
        <f>VLOOKUP(6,KLost,2,FALSE)</f>
        <v>TV Quierschied </v>
      </c>
      <c r="G23" s="17">
        <f>IF(H23="Mo",Spieltage!$F$18,IF(H23="Di",Spieltage!$F$19,IF(H23="Mi",Spieltage!$F$20,IF(H23="Do",Spieltage!$F$21,IF(H23="Fr",Spieltage!$F$22,"")))))</f>
        <v>41666</v>
      </c>
      <c r="H23" t="str">
        <f>VLOOKUP(6,KLost,3,FALSE)</f>
        <v>Mo</v>
      </c>
      <c r="I23" s="19">
        <f>VLOOKUP(6,KLost,4,FALSE)</f>
        <v>0.8125</v>
      </c>
    </row>
    <row r="24" spans="1:9" ht="12.75">
      <c r="A24" s="17">
        <f>IF(B24="Mo",Spieltage!$B$18,IF(B24="Di",Spieltage!$B$19,IF(B24="Mi",Spieltage!$B$20,IF(B24="Do",Spieltage!$B$21,IF(B24="Fr",Spieltage!$B$22,"")))))</f>
      </c>
      <c r="C24" s="19"/>
      <c r="E24" s="18"/>
      <c r="G24" s="17"/>
      <c r="I24" s="19"/>
    </row>
    <row r="26" spans="1:9" ht="12.75">
      <c r="A26" s="17">
        <f>IF(B26="Mo",Spieltage!$B$23,IF(B26="Di",Spieltage!$B$24,IF(B26="Mi",Spieltage!$B$25,IF(B26="Do",Spieltage!$B$26,IF(B26="Fr",Spieltage!$B$27,"")))))</f>
        <v>41557</v>
      </c>
      <c r="B26" t="str">
        <f>VLOOKUP(1,KLost,3,FALSE)</f>
        <v>Do</v>
      </c>
      <c r="C26" s="19">
        <f>VLOOKUP(1,KLost,4,FALSE)</f>
        <v>0.8125</v>
      </c>
      <c r="D26" t="str">
        <f>VLOOKUP(1,KLost,2,FALSE)</f>
        <v>TTZ Altstadt-Kirkel</v>
      </c>
      <c r="E26" s="18" t="s">
        <v>35</v>
      </c>
      <c r="F26" t="str">
        <f>VLOOKUP(4,KLost,2,FALSE)</f>
        <v>TTC Altenwald 2</v>
      </c>
      <c r="G26" s="17">
        <f>IF(H26="Mo",Spieltage!$F$23,IF(H26="Di",Spieltage!$F$24,IF(H26="Mi",Spieltage!$F$25,IF(H26="Do",Spieltage!$F$26,IF(H26="Fr",Spieltage!$F$27,"")))))</f>
        <v>41677</v>
      </c>
      <c r="H26" t="str">
        <f>VLOOKUP(4,KLost,3,FALSE)</f>
        <v>Fr</v>
      </c>
      <c r="I26" s="19">
        <f>VLOOKUP(4,KLost,4,FALSE)</f>
        <v>0.8125</v>
      </c>
    </row>
    <row r="27" spans="1:9" ht="12.75">
      <c r="A27" s="17">
        <f>IF(B27="Mo",Spieltage!$B$23,IF(B27="Di",Spieltage!$B$24,IF(B27="Mi",Spieltage!$B$25,IF(B27="Do",Spieltage!$B$26,IF(B27="Fr",Spieltage!$B$27,"")))))</f>
        <v>41557</v>
      </c>
      <c r="B27" t="str">
        <f>VLOOKUP(2,KLost,3,FALSE)</f>
        <v>Do</v>
      </c>
      <c r="C27" s="19">
        <f>VLOOKUP(2,KLost,4,FALSE)</f>
        <v>0.8125</v>
      </c>
      <c r="D27" t="str">
        <f>VLOOKUP(2,KLost,2,FALSE)</f>
        <v>TTG Mandelbachtal</v>
      </c>
      <c r="E27" s="18" t="s">
        <v>35</v>
      </c>
      <c r="F27" t="str">
        <f>VLOOKUP(3,KLost,2,FALSE)</f>
        <v>TTG Rohrbach-St.Ingbert 2</v>
      </c>
      <c r="G27" s="17">
        <f>IF(H27="Mo",Spieltage!$F$23,IF(H27="Di",Spieltage!$F$24,IF(H27="Mi",Spieltage!$F$25,IF(H27="Do",Spieltage!$F$26,IF(H27="Fr",Spieltage!$F$27,"")))))</f>
        <v>41677</v>
      </c>
      <c r="H27" t="str">
        <f>VLOOKUP(3,KLost,3,FALSE)</f>
        <v>Fr</v>
      </c>
      <c r="I27" s="19">
        <f>VLOOKUP(3,KLost,4,FALSE)</f>
        <v>0.8125</v>
      </c>
    </row>
    <row r="28" spans="1:9" ht="12.75">
      <c r="A28" s="17">
        <f>IF(B28="Mo",Spieltage!$B$23,IF(B28="Di",Spieltage!$B$24,IF(B28="Mi",Spieltage!$B$25,IF(B28="Do",Spieltage!$B$26,IF(B28="Fr",Spieltage!$B$27,"")))))</f>
        <v>41558</v>
      </c>
      <c r="B28" t="str">
        <f>VLOOKUP(7,KLost,3,FALSE)</f>
        <v>Fr</v>
      </c>
      <c r="C28" s="19">
        <f>VLOOKUP(7,KLost,4,FALSE)</f>
        <v>0.8125</v>
      </c>
      <c r="D28" t="str">
        <f>VLOOKUP(7,KLost,2,FALSE)</f>
        <v>TuS Neunkirchen 2   </v>
      </c>
      <c r="E28" s="18" t="s">
        <v>35</v>
      </c>
      <c r="F28" t="str">
        <f>VLOOKUP(5,KLost,2,FALSE)</f>
        <v>TuS Rentrisch </v>
      </c>
      <c r="G28" s="17">
        <f>IF(H28="Mo",Spieltage!$F$23,IF(H28="Di",Spieltage!$F$24,IF(H28="Mi",Spieltage!$F$25,IF(H28="Do",Spieltage!$F$26,IF(H28="Fr",Spieltage!$F$27,"")))))</f>
        <v>41677</v>
      </c>
      <c r="H28" t="str">
        <f>VLOOKUP(5,KLost,3,FALSE)</f>
        <v>Fr</v>
      </c>
      <c r="I28" s="19">
        <f>VLOOKUP(5,KLost,4,FALSE)</f>
        <v>0.8125</v>
      </c>
    </row>
    <row r="29" spans="1:9" ht="12.75">
      <c r="A29" s="17">
        <f>IF(B29="Mo",Spieltage!$B$23,IF(B29="Di",Spieltage!$B$24,IF(B29="Mi",Spieltage!$B$25,IF(B29="Do",Spieltage!$B$26,IF(B29="Fr",Spieltage!$B$27,"")))))</f>
        <v>41554</v>
      </c>
      <c r="B29" t="str">
        <f>VLOOKUP(8,KLost,3,FALSE)</f>
        <v>Mo</v>
      </c>
      <c r="C29" s="19">
        <f>VLOOKUP(8,KLost,4,FALSE)</f>
        <v>0.8333333333333334</v>
      </c>
      <c r="D29" t="str">
        <f>VLOOKUP(8,KLost,2,FALSE)</f>
        <v>TTC Lautzkirchen</v>
      </c>
      <c r="E29" s="18" t="s">
        <v>35</v>
      </c>
      <c r="F29" t="str">
        <f>VLOOKUP(6,KLost,2,FALSE)</f>
        <v>TV Quierschied </v>
      </c>
      <c r="G29" s="17">
        <f>IF(H29="Mo",Spieltage!$F$23,IF(H29="Di",Spieltage!$F$24,IF(H29="Mi",Spieltage!$F$25,IF(H29="Do",Spieltage!$F$26,IF(H29="Fr",Spieltage!$F$27,"")))))</f>
        <v>41673</v>
      </c>
      <c r="H29" t="str">
        <f>VLOOKUP(6,KLost,3,FALSE)</f>
        <v>Mo</v>
      </c>
      <c r="I29" s="19">
        <f>VLOOKUP(6,KLost,4,FALSE)</f>
        <v>0.8125</v>
      </c>
    </row>
    <row r="30" spans="1:9" ht="12.75">
      <c r="A30" s="17">
        <f>IF(B30="Mo",Spieltage!$B$23,IF(B30="Di",Spieltage!$B$24,IF(B30="Mi",Spieltage!$B$25,IF(B30="Do",Spieltage!$B$26,IF(B30="Fr",Spieltage!$B$27,"")))))</f>
      </c>
      <c r="C30" s="19"/>
      <c r="E30" s="18"/>
      <c r="G30" s="17"/>
      <c r="I30" s="19"/>
    </row>
    <row r="32" spans="1:9" ht="12.75">
      <c r="A32" s="17">
        <f>IF(B32="Mo",Spieltage!$B$28,IF(B32="Di",Spieltage!$B$29,IF(B32="Mi",Spieltage!$B$30,IF(B32="Do",Spieltage!$B$31,IF(B32="Fr",Spieltage!$B$32,"")))))</f>
        <v>41565</v>
      </c>
      <c r="B32" t="str">
        <f>VLOOKUP(3,KLost,3,FALSE)</f>
        <v>Fr</v>
      </c>
      <c r="C32" s="19">
        <f>VLOOKUP(3,KLost,4,FALSE)</f>
        <v>0.8125</v>
      </c>
      <c r="D32" t="str">
        <f>VLOOKUP(3,KLost,2,FALSE)</f>
        <v>TTG Rohrbach-St.Ingbert 2</v>
      </c>
      <c r="E32" s="18" t="s">
        <v>35</v>
      </c>
      <c r="F32" t="str">
        <f>VLOOKUP(8,KLost,2,FALSE)</f>
        <v>TTC Lautzkirchen</v>
      </c>
      <c r="G32" s="17">
        <f>IF(H32="Mo",Spieltage!$F$28,IF(H32="Di",Spieltage!$F$29,IF(H32="Mi",Spieltage!$F$30,IF(H32="Do",Spieltage!$F$31,IF(H32="Fr",Spieltage!$F$32,"")))))</f>
        <v>41680</v>
      </c>
      <c r="H32" t="str">
        <f>VLOOKUP(8,KLost,3,FALSE)</f>
        <v>Mo</v>
      </c>
      <c r="I32" s="19">
        <f>VLOOKUP(8,KLost,4,FALSE)</f>
        <v>0.8333333333333334</v>
      </c>
    </row>
    <row r="33" spans="1:9" ht="12.75">
      <c r="A33" s="17">
        <f>IF(B33="Mo",Spieltage!$B$28,IF(B33="Di",Spieltage!$B$29,IF(B33="Mi",Spieltage!$B$30,IF(B33="Do",Spieltage!$B$31,IF(B33="Fr",Spieltage!$B$32,"")))))</f>
        <v>41565</v>
      </c>
      <c r="B33" t="str">
        <f>VLOOKUP(4,KLost,3,FALSE)</f>
        <v>Fr</v>
      </c>
      <c r="C33" s="19">
        <f>VLOOKUP(4,KLost,4,FALSE)</f>
        <v>0.8125</v>
      </c>
      <c r="D33" t="str">
        <f>VLOOKUP(4,KLost,2,FALSE)</f>
        <v>TTC Altenwald 2</v>
      </c>
      <c r="E33" s="18" t="s">
        <v>35</v>
      </c>
      <c r="F33" t="str">
        <f>VLOOKUP(2,KLost,2,FALSE)</f>
        <v>TTG Mandelbachtal</v>
      </c>
      <c r="G33" s="17">
        <f>IF(H33="Mo",Spieltage!$F$28,IF(H33="Di",Spieltage!$F$29,IF(H33="Mi",Spieltage!$F$30,IF(H33="Do",Spieltage!$F$31,IF(H33="Fr",Spieltage!$F$32,"")))))</f>
        <v>41683</v>
      </c>
      <c r="H33" t="str">
        <f>VLOOKUP(2,KLost,3,FALSE)</f>
        <v>Do</v>
      </c>
      <c r="I33" s="19">
        <f>VLOOKUP(2,KLost,4,FALSE)</f>
        <v>0.8125</v>
      </c>
    </row>
    <row r="34" spans="1:9" ht="12.75">
      <c r="A34" s="17">
        <f>IF(B34="Mo",Spieltage!$B$28,IF(B34="Di",Spieltage!$B$29,IF(B34="Mi",Spieltage!$B$30,IF(B34="Do",Spieltage!$B$31,IF(B34="Fr",Spieltage!$B$32,"")))))</f>
        <v>41565</v>
      </c>
      <c r="B34" t="str">
        <f>VLOOKUP(5,KLost,3,FALSE)</f>
        <v>Fr</v>
      </c>
      <c r="C34" s="19">
        <f>VLOOKUP(5,KLost,4,FALSE)</f>
        <v>0.8125</v>
      </c>
      <c r="D34" t="str">
        <f>VLOOKUP(5,KLost,2,FALSE)</f>
        <v>TuS Rentrisch </v>
      </c>
      <c r="E34" s="18" t="s">
        <v>35</v>
      </c>
      <c r="F34" t="str">
        <f>VLOOKUP(1,KLost,2,FALSE)</f>
        <v>TTZ Altstadt-Kirkel</v>
      </c>
      <c r="G34" s="17">
        <f>IF(H34="Mo",Spieltage!$F$28,IF(H34="Di",Spieltage!$F$29,IF(H34="Mi",Spieltage!$F$30,IF(H34="Do",Spieltage!$F$31,IF(H34="Fr",Spieltage!$F$32,"")))))</f>
        <v>41683</v>
      </c>
      <c r="H34" t="str">
        <f>VLOOKUP(1,KLost,3,FALSE)</f>
        <v>Do</v>
      </c>
      <c r="I34" s="19">
        <f>VLOOKUP(1,KLost,4,FALSE)</f>
        <v>0.8125</v>
      </c>
    </row>
    <row r="35" spans="1:9" ht="12.75">
      <c r="A35" s="17">
        <f>IF(B35="Mo",Spieltage!$B$28,IF(B35="Di",Spieltage!$B$29,IF(B35="Mi",Spieltage!$B$30,IF(B35="Do",Spieltage!$B$31,IF(B35="Fr",Spieltage!$B$32,"")))))</f>
        <v>41561</v>
      </c>
      <c r="B35" t="str">
        <f>VLOOKUP(6,KLost,3,FALSE)</f>
        <v>Mo</v>
      </c>
      <c r="C35" s="19">
        <f>VLOOKUP(6,KLost,4,FALSE)</f>
        <v>0.8125</v>
      </c>
      <c r="D35" t="str">
        <f>VLOOKUP(6,KLost,2,FALSE)</f>
        <v>TV Quierschied </v>
      </c>
      <c r="E35" s="18" t="s">
        <v>35</v>
      </c>
      <c r="F35" t="str">
        <f>VLOOKUP(7,KLost,2,FALSE)</f>
        <v>TuS Neunkirchen 2   </v>
      </c>
      <c r="G35" s="17">
        <f>IF(H35="Mo",Spieltage!$F$28,IF(H35="Di",Spieltage!$F$29,IF(H35="Mi",Spieltage!$F$30,IF(H35="Do",Spieltage!$F$31,IF(H35="Fr",Spieltage!$F$32,"")))))</f>
        <v>41684</v>
      </c>
      <c r="H35" t="str">
        <f>VLOOKUP(7,KLost,3,FALSE)</f>
        <v>Fr</v>
      </c>
      <c r="I35" s="19">
        <f>VLOOKUP(7,KLost,4,FALSE)</f>
        <v>0.8125</v>
      </c>
    </row>
    <row r="36" spans="1:9" ht="12.75">
      <c r="A36" s="17">
        <f>IF(B36="Mo",Spieltage!$B$28,IF(B36="Di",Spieltage!$B$29,IF(B36="Mi",Spieltage!$B$30,IF(B36="Do",Spieltage!$B$31,IF(B36="Fr",Spieltage!$B$32,"")))))</f>
      </c>
      <c r="C36" s="19"/>
      <c r="E36" s="18"/>
      <c r="G36" s="17"/>
      <c r="I36" s="19"/>
    </row>
    <row r="38" spans="1:9" ht="12.75">
      <c r="A38" s="17">
        <f>IF(B38="Mo",Spieltage!$B$33,IF(B38="Di",Spieltage!$B$34,IF(B38="Mi",Spieltage!$B$35,IF(B38="Do",Spieltage!$B$36,IF(B38="Fr",Spieltage!$B$37,"")))))</f>
        <v>41585</v>
      </c>
      <c r="B38" t="str">
        <f>VLOOKUP(1,KLost,3,FALSE)</f>
        <v>Do</v>
      </c>
      <c r="C38" s="19">
        <f>VLOOKUP(1,KLost,4,FALSE)</f>
        <v>0.8125</v>
      </c>
      <c r="D38" t="str">
        <f>VLOOKUP(1,KLost,2,FALSE)</f>
        <v>TTZ Altstadt-Kirkel</v>
      </c>
      <c r="E38" s="18" t="s">
        <v>35</v>
      </c>
      <c r="F38" t="str">
        <f>VLOOKUP(6,KLost,2,FALSE)</f>
        <v>TV Quierschied </v>
      </c>
      <c r="G38" s="17">
        <f>IF(H38="Mo",Spieltage!$F$33,IF(H38="Di",Spieltage!$F$34,IF(H38="Mi",Spieltage!$F$35,IF(H38="Do",Spieltage!$F$36,IF(H38="Fr",Spieltage!$F$37,"")))))</f>
        <v>41687</v>
      </c>
      <c r="H38" t="str">
        <f>VLOOKUP(6,KLost,3,FALSE)</f>
        <v>Mo</v>
      </c>
      <c r="I38" s="19">
        <f>VLOOKUP(6,KLost,4,FALSE)</f>
        <v>0.8125</v>
      </c>
    </row>
    <row r="39" spans="1:9" ht="12.75">
      <c r="A39" s="17">
        <f>IF(B39="Mo",Spieltage!$B$33,IF(B39="Di",Spieltage!$B$34,IF(B39="Mi",Spieltage!$B$35,IF(B39="Do",Spieltage!$B$36,IF(B39="Fr",Spieltage!$B$37,"")))))</f>
        <v>41585</v>
      </c>
      <c r="B39" t="str">
        <f>VLOOKUP(2,KLost,3,FALSE)</f>
        <v>Do</v>
      </c>
      <c r="C39" s="19">
        <f>VLOOKUP(2,KLost,4,FALSE)</f>
        <v>0.8125</v>
      </c>
      <c r="D39" t="str">
        <f>VLOOKUP(2,KLost,2,FALSE)</f>
        <v>TTG Mandelbachtal</v>
      </c>
      <c r="E39" s="18" t="s">
        <v>35</v>
      </c>
      <c r="F39" t="str">
        <f>VLOOKUP(5,KLost,2,FALSE)</f>
        <v>TuS Rentrisch </v>
      </c>
      <c r="G39" s="17">
        <f>IF(H39="Mo",Spieltage!$F$33,IF(H39="Di",Spieltage!$F$34,IF(H39="Mi",Spieltage!$F$35,IF(H39="Do",Spieltage!$F$36,IF(H39="Fr",Spieltage!$F$37,"")))))</f>
        <v>41691</v>
      </c>
      <c r="H39" t="str">
        <f>VLOOKUP(5,KLost,3,FALSE)</f>
        <v>Fr</v>
      </c>
      <c r="I39" s="19">
        <f>VLOOKUP(5,KLost,4,FALSE)</f>
        <v>0.8125</v>
      </c>
    </row>
    <row r="40" spans="1:9" ht="12.75">
      <c r="A40" s="17">
        <f>IF(B40="Mo",Spieltage!$B$33,IF(B40="Di",Spieltage!$B$34,IF(B40="Mi",Spieltage!$B$35,IF(B40="Do",Spieltage!$B$36,IF(B40="Fr",Spieltage!$B$37,"")))))</f>
        <v>41586</v>
      </c>
      <c r="B40" t="str">
        <f>VLOOKUP(3,KLost,3,FALSE)</f>
        <v>Fr</v>
      </c>
      <c r="C40" s="19">
        <f>VLOOKUP(3,KLost,4,FALSE)</f>
        <v>0.8125</v>
      </c>
      <c r="D40" t="str">
        <f>VLOOKUP(3,KLost,2,FALSE)</f>
        <v>TTG Rohrbach-St.Ingbert 2</v>
      </c>
      <c r="E40" s="18" t="s">
        <v>35</v>
      </c>
      <c r="F40" t="str">
        <f>VLOOKUP(4,KLost,2,FALSE)</f>
        <v>TTC Altenwald 2</v>
      </c>
      <c r="G40" s="17">
        <f>IF(H40="Mo",Spieltage!$F$33,IF(H40="Di",Spieltage!$F$34,IF(H40="Mi",Spieltage!$F$35,IF(H40="Do",Spieltage!$F$36,IF(H40="Fr",Spieltage!$F$37,"")))))</f>
        <v>41691</v>
      </c>
      <c r="H40" t="str">
        <f>VLOOKUP(4,KLost,3,FALSE)</f>
        <v>Fr</v>
      </c>
      <c r="I40" s="19">
        <f>VLOOKUP(4,KLost,4,FALSE)</f>
        <v>0.8125</v>
      </c>
    </row>
    <row r="41" spans="1:9" ht="12.75">
      <c r="A41" s="17">
        <f>IF(B41="Mo",Spieltage!$B$33,IF(B41="Di",Spieltage!$B$34,IF(B41="Mi",Spieltage!$B$35,IF(B41="Do",Spieltage!$B$36,IF(B41="Fr",Spieltage!$B$37,"")))))</f>
        <v>41582</v>
      </c>
      <c r="B41" t="str">
        <f>VLOOKUP(8,KLost,3,FALSE)</f>
        <v>Mo</v>
      </c>
      <c r="C41" s="19">
        <f>VLOOKUP(8,KLost,4,FALSE)</f>
        <v>0.8333333333333334</v>
      </c>
      <c r="D41" t="str">
        <f>VLOOKUP(8,KLost,2,FALSE)</f>
        <v>TTC Lautzkirchen</v>
      </c>
      <c r="E41" s="18" t="s">
        <v>35</v>
      </c>
      <c r="F41" t="str">
        <f>VLOOKUP(7,KLost,2,FALSE)</f>
        <v>TuS Neunkirchen 2   </v>
      </c>
      <c r="G41" s="17">
        <f>IF(H41="Mo",Spieltage!$F$33,IF(H41="Di",Spieltage!$F$34,IF(H41="Mi",Spieltage!$F$35,IF(H41="Do",Spieltage!$F$36,IF(H41="Fr",Spieltage!$F$37,"")))))</f>
        <v>41691</v>
      </c>
      <c r="H41" t="str">
        <f>VLOOKUP(7,KLost,3,FALSE)</f>
        <v>Fr</v>
      </c>
      <c r="I41" s="19">
        <f>VLOOKUP(7,KLost,4,FALSE)</f>
        <v>0.8125</v>
      </c>
    </row>
    <row r="42" spans="1:9" ht="12.75">
      <c r="A42" s="17">
        <f>IF(B42="Mo",Spieltage!$B$33,IF(B42="Di",Spieltage!$B$34,IF(B42="Mi",Spieltage!$B$35,IF(B42="Do",Spieltage!$B$36,IF(B42="Fr",Spieltage!$B$37,"")))))</f>
      </c>
      <c r="C42" s="19"/>
      <c r="E42" s="18"/>
      <c r="G42" s="17"/>
      <c r="I42" s="19"/>
    </row>
    <row r="44" spans="1:9" ht="12.75">
      <c r="A44" s="17">
        <f>IF(B44="Mo",Spieltage!$B$38,IF(B44="Di",Spieltage!$B$39,IF(B44="Mi",Spieltage!$B$40,IF(B44="Do",Spieltage!$B$41,IF(B44="Fr",Spieltage!$B$42,"")))))</f>
        <v>41593</v>
      </c>
      <c r="B44" t="str">
        <f>VLOOKUP(4,KLost,3,FALSE)</f>
        <v>Fr</v>
      </c>
      <c r="C44" s="19">
        <f>VLOOKUP(4,KLost,4,FALSE)</f>
        <v>0.8125</v>
      </c>
      <c r="D44" t="str">
        <f>VLOOKUP(4,KLost,2,FALSE)</f>
        <v>TTC Altenwald 2</v>
      </c>
      <c r="E44" s="18" t="s">
        <v>35</v>
      </c>
      <c r="F44" t="str">
        <f>VLOOKUP(8,KLost,2,FALSE)</f>
        <v>TTC Lautzkirchen</v>
      </c>
      <c r="G44" s="17">
        <f>IF(H44="Mo",Spieltage!$F$38,IF(H44="Di",Spieltage!$F$39,IF(H44="Mi",Spieltage!$F$40,IF(H44="Do",Spieltage!$F$41,IF(H44="Fr",Spieltage!$F$42,"")))))</f>
        <v>41708</v>
      </c>
      <c r="H44" t="str">
        <f>VLOOKUP(8,KLost,3,FALSE)</f>
        <v>Mo</v>
      </c>
      <c r="I44" s="19">
        <f>VLOOKUP(8,KLost,4,FALSE)</f>
        <v>0.8333333333333334</v>
      </c>
    </row>
    <row r="45" spans="1:9" ht="12.75">
      <c r="A45" s="17">
        <f>IF(B45="Mo",Spieltage!$B$38,IF(B45="Di",Spieltage!$B$39,IF(B45="Mi",Spieltage!$B$40,IF(B45="Do",Spieltage!$B$41,IF(B45="Fr",Spieltage!$B$42,"")))))</f>
        <v>41593</v>
      </c>
      <c r="B45" t="str">
        <f>VLOOKUP(5,KLost,3,FALSE)</f>
        <v>Fr</v>
      </c>
      <c r="C45" s="19">
        <f>VLOOKUP(5,KLost,4,FALSE)</f>
        <v>0.8125</v>
      </c>
      <c r="D45" t="str">
        <f>VLOOKUP(5,KLost,2,FALSE)</f>
        <v>TuS Rentrisch </v>
      </c>
      <c r="E45" s="18" t="s">
        <v>35</v>
      </c>
      <c r="F45" t="str">
        <f>VLOOKUP(3,KLost,2,FALSE)</f>
        <v>TTG Rohrbach-St.Ingbert 2</v>
      </c>
      <c r="G45" s="17">
        <f>IF(H45="Mo",Spieltage!$F$38,IF(H45="Di",Spieltage!$F$39,IF(H45="Mi",Spieltage!$F$40,IF(H45="Do",Spieltage!$F$41,IF(H45="Fr",Spieltage!$F$42,"")))))</f>
        <v>41712</v>
      </c>
      <c r="H45" t="str">
        <f>VLOOKUP(3,KLost,3,FALSE)</f>
        <v>Fr</v>
      </c>
      <c r="I45" s="19">
        <f>VLOOKUP(3,KLost,4,FALSE)</f>
        <v>0.8125</v>
      </c>
    </row>
    <row r="46" spans="1:9" ht="12.75">
      <c r="A46" s="17">
        <f>IF(B46="Mo",Spieltage!$B$38,IF(B46="Di",Spieltage!$B$39,IF(B46="Mi",Spieltage!$B$40,IF(B46="Do",Spieltage!$B$41,IF(B46="Fr",Spieltage!$B$42,"")))))</f>
        <v>41589</v>
      </c>
      <c r="B46" t="str">
        <f>VLOOKUP(6,KLost,3,FALSE)</f>
        <v>Mo</v>
      </c>
      <c r="C46" s="19">
        <f>VLOOKUP(6,KLost,4,FALSE)</f>
        <v>0.8125</v>
      </c>
      <c r="D46" t="str">
        <f>VLOOKUP(6,KLost,2,FALSE)</f>
        <v>TV Quierschied </v>
      </c>
      <c r="E46" s="18" t="s">
        <v>35</v>
      </c>
      <c r="F46" t="str">
        <f>VLOOKUP(2,KLost,2,FALSE)</f>
        <v>TTG Mandelbachtal</v>
      </c>
      <c r="G46" s="17">
        <f>IF(H46="Mo",Spieltage!$F$38,IF(H46="Di",Spieltage!$F$39,IF(H46="Mi",Spieltage!$F$40,IF(H46="Do",Spieltage!$F$41,IF(H46="Fr",Spieltage!$F$42,"")))))</f>
        <v>41711</v>
      </c>
      <c r="H46" t="str">
        <f>VLOOKUP(2,KLost,3,FALSE)</f>
        <v>Do</v>
      </c>
      <c r="I46" s="19">
        <f>VLOOKUP(2,KLost,4,FALSE)</f>
        <v>0.8125</v>
      </c>
    </row>
    <row r="47" spans="1:9" ht="12.75">
      <c r="A47" s="17">
        <f>IF(B47="Mo",Spieltage!$B$38,IF(B47="Di",Spieltage!$B$39,IF(B47="Mi",Spieltage!$B$40,IF(B47="Do",Spieltage!$B$41,IF(B47="Fr",Spieltage!$B$42,"")))))</f>
        <v>41593</v>
      </c>
      <c r="B47" t="str">
        <f>VLOOKUP(7,KLost,3,FALSE)</f>
        <v>Fr</v>
      </c>
      <c r="C47" s="19">
        <f>VLOOKUP(7,KLost,4,FALSE)</f>
        <v>0.8125</v>
      </c>
      <c r="D47" t="str">
        <f>VLOOKUP(7,KLost,2,FALSE)</f>
        <v>TuS Neunkirchen 2   </v>
      </c>
      <c r="E47" s="18" t="s">
        <v>35</v>
      </c>
      <c r="F47" t="str">
        <f>VLOOKUP(1,KLost,2,FALSE)</f>
        <v>TTZ Altstadt-Kirkel</v>
      </c>
      <c r="G47" s="17">
        <f>IF(H47="Mo",Spieltage!$F$38,IF(H47="Di",Spieltage!$F$39,IF(H47="Mi",Spieltage!$F$40,IF(H47="Do",Spieltage!$F$41,IF(H47="Fr",Spieltage!$F$42,"")))))</f>
        <v>41711</v>
      </c>
      <c r="H47" t="str">
        <f>VLOOKUP(1,KLost,3,FALSE)</f>
        <v>Do</v>
      </c>
      <c r="I47" s="19">
        <f>VLOOKUP(1,KLost,4,FALSE)</f>
        <v>0.8125</v>
      </c>
    </row>
    <row r="48" spans="1:9" ht="12.75">
      <c r="A48" s="17">
        <f>IF(B48="Mo",Spieltage!$B$38,IF(B48="Di",Spieltage!$B$39,IF(B48="Mi",Spieltage!$B$40,IF(B48="Do",Spieltage!$B$41,IF(B48="Fr",Spieltage!$B$42,"")))))</f>
      </c>
      <c r="C48" s="19"/>
      <c r="E48" s="18"/>
      <c r="G48" s="17"/>
      <c r="I48" s="19"/>
    </row>
    <row r="50" spans="1:9" ht="12.75">
      <c r="A50" s="17"/>
      <c r="C50" s="19"/>
      <c r="E50" s="18"/>
      <c r="G50" s="17"/>
      <c r="I50" s="19"/>
    </row>
    <row r="51" spans="1:9" ht="12.75">
      <c r="A51" s="17"/>
      <c r="C51" s="19"/>
      <c r="E51" s="18"/>
      <c r="G51" s="17"/>
      <c r="I51" s="19"/>
    </row>
    <row r="52" spans="1:9" ht="12.75">
      <c r="A52" s="17"/>
      <c r="C52" s="19"/>
      <c r="E52" s="18"/>
      <c r="G52" s="17"/>
      <c r="I52" s="19"/>
    </row>
    <row r="53" spans="1:9" ht="12.75">
      <c r="A53" s="17"/>
      <c r="C53" s="19"/>
      <c r="E53" s="18"/>
      <c r="G53" s="17"/>
      <c r="I53" s="19"/>
    </row>
    <row r="54" spans="1:9" ht="12.75">
      <c r="A54" s="17"/>
      <c r="C54" s="19"/>
      <c r="E54" s="18"/>
      <c r="G54" s="17"/>
      <c r="I54" s="19"/>
    </row>
    <row r="56" spans="1:9" ht="12.75">
      <c r="A56" s="17"/>
      <c r="C56" s="19"/>
      <c r="E56" s="18"/>
      <c r="G56" s="17"/>
      <c r="I56" s="19"/>
    </row>
    <row r="57" spans="1:9" ht="12.75">
      <c r="A57" s="17"/>
      <c r="C57" s="19"/>
      <c r="E57" s="18"/>
      <c r="G57" s="17"/>
      <c r="I57" s="19"/>
    </row>
    <row r="58" spans="1:9" ht="12.75">
      <c r="A58" s="17"/>
      <c r="C58" s="19"/>
      <c r="E58" s="18"/>
      <c r="G58" s="17"/>
      <c r="I58" s="19"/>
    </row>
    <row r="59" spans="1:9" ht="12.75">
      <c r="A59" s="17"/>
      <c r="C59" s="19"/>
      <c r="E59" s="18"/>
      <c r="G59" s="17"/>
      <c r="I59" s="19"/>
    </row>
    <row r="60" spans="1:9" ht="12.75">
      <c r="A60" s="17"/>
      <c r="C60" s="19"/>
      <c r="E60" s="18"/>
      <c r="G60" s="17"/>
      <c r="I60" s="19"/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2" sqref="A2"/>
    </sheetView>
  </sheetViews>
  <sheetFormatPr defaultColWidth="11.421875" defaultRowHeight="12.75"/>
  <cols>
    <col min="1" max="1" width="10.28125" style="0" customWidth="1"/>
    <col min="2" max="2" width="3.7109375" style="0" customWidth="1"/>
    <col min="3" max="3" width="5.7109375" style="0" customWidth="1"/>
    <col min="4" max="4" width="21.7109375" style="0" customWidth="1"/>
    <col min="5" max="5" width="1.7109375" style="0" customWidth="1"/>
    <col min="6" max="6" width="21.7109375" style="0" customWidth="1"/>
    <col min="7" max="7" width="10.28125" style="0" customWidth="1"/>
    <col min="8" max="8" width="3.7109375" style="0" customWidth="1"/>
    <col min="9" max="9" width="5.7109375" style="0" customWidth="1"/>
  </cols>
  <sheetData>
    <row r="1" spans="1:9" ht="12.75">
      <c r="A1" s="1" t="s">
        <v>31</v>
      </c>
      <c r="I1" s="20" t="s">
        <v>32</v>
      </c>
    </row>
    <row r="2" ht="15.75">
      <c r="D2" s="4" t="s">
        <v>21</v>
      </c>
    </row>
    <row r="4" spans="1:4" ht="15.75">
      <c r="A4" s="4" t="s">
        <v>33</v>
      </c>
      <c r="D4" s="1" t="str">
        <f>Spieltage!A3&amp;" "&amp;Spieltage!B3</f>
        <v>Saison 2013/2014</v>
      </c>
    </row>
    <row r="6" spans="1:7" ht="12.75">
      <c r="A6" s="1" t="s">
        <v>28</v>
      </c>
      <c r="G6" s="1" t="s">
        <v>30</v>
      </c>
    </row>
    <row r="8" spans="1:9" ht="12.75">
      <c r="A8" s="17">
        <f>IF(B8="Mo",Spieltage!$B$8,IF(B8="Di",Spieltage!$B$9,IF(B8="Mi",Spieltage!$B$10,IF(B8="Do",Spieltage!$B$11,IF(B8="Fr",Spieltage!$B$12,"")))))</f>
        <v>41526</v>
      </c>
      <c r="B8" t="str">
        <f>VLOOKUP(1,KLnord,3,FALSE)</f>
        <v>Mo</v>
      </c>
      <c r="C8" s="19">
        <f>VLOOKUP(1,KLnord,4,FALSE)</f>
        <v>0.8125</v>
      </c>
      <c r="D8" t="str">
        <f>VLOOKUP(1,KLnord,2,FALSE)</f>
        <v>TTC Kerpen Illingen</v>
      </c>
      <c r="E8" s="18" t="s">
        <v>35</v>
      </c>
      <c r="F8" t="str">
        <f>VLOOKUP(9,KLnord,2,FALSE)</f>
        <v>TTC Wemmetsweiler</v>
      </c>
      <c r="G8" s="17">
        <f>IF(H8="Mo",Spieltage!$F$8,IF(H8="Di",Spieltage!$F$9,IF(H8="Mi",Spieltage!$F$10,IF(H8="Do",Spieltage!$F$11,IF(H8="Fr",Spieltage!$F$12,"")))))</f>
        <v>41649</v>
      </c>
      <c r="H8" t="str">
        <f>VLOOKUP(9,KLnord,3,FALSE)</f>
        <v>Fr</v>
      </c>
      <c r="I8" s="19">
        <f>VLOOKUP(9,KLnord,4,FALSE)</f>
        <v>0.7916666666666666</v>
      </c>
    </row>
    <row r="9" spans="1:9" ht="12.75">
      <c r="A9" s="17">
        <f>IF(B9="Mo",Spieltage!$B$8,IF(B9="Di",Spieltage!$B$9,IF(B9="Mi",Spieltage!$B$10,IF(B9="Do",Spieltage!$B$11,IF(B9="Fr",Spieltage!$B$12,"")))))</f>
        <v>41526</v>
      </c>
      <c r="B9" t="str">
        <f>VLOOKUP(2,KLnord,3,FALSE)</f>
        <v>Mo</v>
      </c>
      <c r="C9" s="19">
        <f>VLOOKUP(2,KLnord,4,FALSE)</f>
        <v>0.8125</v>
      </c>
      <c r="D9" t="str">
        <f>VLOOKUP(2,KLnord,2,FALSE)</f>
        <v>SG TTV Niederlinxweiler/ DJK TT Ottweiler</v>
      </c>
      <c r="E9" s="18" t="s">
        <v>35</v>
      </c>
      <c r="F9" t="str">
        <f>VLOOKUP(8,KLnord,2,FALSE)</f>
        <v>SV Remmesweiler</v>
      </c>
      <c r="G9" s="17">
        <f>IF(H9="Mo",Spieltage!$F$8,IF(H9="Di",Spieltage!$F$9,IF(H9="Mi",Spieltage!$F$10,IF(H9="Do",Spieltage!$F$11,IF(H9="Fr",Spieltage!$F$12,"")))))</f>
        <v>41647</v>
      </c>
      <c r="H9" t="str">
        <f>VLOOKUP(8,KLnord,3,FALSE)</f>
        <v>Mi</v>
      </c>
      <c r="I9" s="19">
        <f>VLOOKUP(8,KLnord,4,FALSE)</f>
        <v>0.8125</v>
      </c>
    </row>
    <row r="10" spans="1:9" ht="12.75">
      <c r="A10" s="17">
        <f>IF(B10="Mo",Spieltage!$B$8,IF(B10="Di",Spieltage!$B$9,IF(B10="Mi",Spieltage!$B$10,IF(B10="Do",Spieltage!$B$11,IF(B10="Fr",Spieltage!$B$12,"")))))</f>
        <v>41530</v>
      </c>
      <c r="B10" t="str">
        <f>VLOOKUP(3,KLnord,3,FALSE)</f>
        <v>Fr</v>
      </c>
      <c r="C10" s="19">
        <f>VLOOKUP(3,KLnord,4,FALSE)</f>
        <v>0.8333333333333334</v>
      </c>
      <c r="D10" t="str">
        <f>VLOOKUP(3,KLnord,2,FALSE)</f>
        <v>TTC Urexweiler </v>
      </c>
      <c r="E10" s="18" t="s">
        <v>35</v>
      </c>
      <c r="F10" t="str">
        <f>VLOOKUP(7,KLnord,2,FALSE)</f>
        <v>TTV Berschweiler </v>
      </c>
      <c r="G10" s="17">
        <f>IF(H10="Mo",Spieltage!$F$8,IF(H10="Di",Spieltage!$F$9,IF(H10="Mi",Spieltage!$F$10,IF(H10="Do",Spieltage!$F$11,IF(H10="Fr",Spieltage!$F$12,"")))))</f>
        <v>41648</v>
      </c>
      <c r="H10" t="str">
        <f>VLOOKUP(7,KLnord,3,FALSE)</f>
        <v>Do</v>
      </c>
      <c r="I10" s="19">
        <f>VLOOKUP(7,KLnord,4,FALSE)</f>
        <v>0.8125</v>
      </c>
    </row>
    <row r="11" spans="1:9" ht="12.75">
      <c r="A11" s="17">
        <f>IF(B11="Mo",Spieltage!$B$8,IF(B11="Di",Spieltage!$B$9,IF(B11="Mi",Spieltage!$B$10,IF(B11="Do",Spieltage!$B$11,IF(B11="Fr",Spieltage!$B$12,"")))))</f>
        <v>41530</v>
      </c>
      <c r="B11" t="str">
        <f>VLOOKUP(4,KLnord,3,FALSE)</f>
        <v>Fr</v>
      </c>
      <c r="C11" s="19">
        <f>VLOOKUP(4,KLnord,4,FALSE)</f>
        <v>0.8125</v>
      </c>
      <c r="D11" t="str">
        <f>VLOOKUP(4,KLnord,2,FALSE)</f>
        <v>TTC Limbach e.V.</v>
      </c>
      <c r="E11" s="18" t="s">
        <v>35</v>
      </c>
      <c r="F11" t="str">
        <f>VLOOKUP(6,KLnord,2,FALSE)</f>
        <v>TTG Wustweiler-Uchtelfangen </v>
      </c>
      <c r="G11" s="17">
        <f>IF(H11="Mo",Spieltage!$F$8,IF(H11="Di",Spieltage!$F$9,IF(H11="Mi",Spieltage!$F$10,IF(H11="Do",Spieltage!$F$11,IF(H11="Fr",Spieltage!$F$12,"")))))</f>
        <v>41648</v>
      </c>
      <c r="H11" t="str">
        <f>VLOOKUP(6,KLnord,3,FALSE)</f>
        <v>Do</v>
      </c>
      <c r="I11" s="19">
        <f>VLOOKUP(6,KLnord,4,FALSE)</f>
        <v>0.8125</v>
      </c>
    </row>
    <row r="12" spans="1:9" ht="12.75">
      <c r="A12" s="17">
        <f>IF(B12="Mo",Spieltage!$B$8,IF(B12="Di",Spieltage!$B$9,IF(B12="Mi",Spieltage!$B$10,IF(B12="Do",Spieltage!$B$11,IF(B12="Fr",Spieltage!$B$12,"")))))</f>
      </c>
      <c r="B12" t="str">
        <f>VLOOKUP(10,KLnord,3,FALSE)</f>
        <v> </v>
      </c>
      <c r="C12" s="19" t="str">
        <f>VLOOKUP(10,KLnord,4,FALSE)</f>
        <v> </v>
      </c>
      <c r="D12" t="str">
        <f>VLOOKUP(10,KLnord,2,FALSE)</f>
        <v>spielfrei</v>
      </c>
      <c r="E12" s="18" t="s">
        <v>35</v>
      </c>
      <c r="F12" t="str">
        <f>VLOOKUP(5,KLnord,2,FALSE)</f>
        <v>TTC Schmelz</v>
      </c>
      <c r="G12" s="17">
        <f>IF(H12="Mo",Spieltage!$F$8,IF(H12="Di",Spieltage!$F$9,IF(H12="Mi",Spieltage!$F$10,IF(H12="Do",Spieltage!$F$11,IF(H12="Fr",Spieltage!$F$12,"")))))</f>
        <v>41647</v>
      </c>
      <c r="H12" t="str">
        <f>VLOOKUP(5,KLnord,3,FALSE)</f>
        <v>Mi</v>
      </c>
      <c r="I12" s="19">
        <f>VLOOKUP(5,KLnord,4,FALSE)</f>
        <v>0.84375</v>
      </c>
    </row>
    <row r="13" ht="12.75">
      <c r="E13" s="18"/>
    </row>
    <row r="14" spans="1:9" ht="12.75">
      <c r="A14" s="17">
        <f>IF(B14="Mo",Spieltage!$B$13,IF(B14="Di",Spieltage!$B$14,IF(B14="Mi",Spieltage!$B$15,IF(B14="Do",Spieltage!$B$16,IF(B14="Fr",Spieltage!$B$17,"")))))</f>
        <v>41533</v>
      </c>
      <c r="B14" t="str">
        <f>VLOOKUP(1,KLnord,3,FALSE)</f>
        <v>Mo</v>
      </c>
      <c r="C14" s="19">
        <f>VLOOKUP(1,KLnord,4,FALSE)</f>
        <v>0.8125</v>
      </c>
      <c r="D14" t="str">
        <f>VLOOKUP(1,KLnord,2,FALSE)</f>
        <v>TTC Kerpen Illingen</v>
      </c>
      <c r="E14" s="18" t="s">
        <v>35</v>
      </c>
      <c r="F14" t="str">
        <f>VLOOKUP(3,KLnord,2,FALSE)</f>
        <v>TTC Urexweiler </v>
      </c>
      <c r="G14" s="17">
        <f>IF(H14="Mo",Spieltage!$F$13,IF(H14="Di",Spieltage!$F$14,IF(H14="Mi",Spieltage!$F$15,IF(H14="Do",Spieltage!$F$16,IF(H14="Fr",Spieltage!$F$17,"")))))</f>
        <v>41663</v>
      </c>
      <c r="H14" t="str">
        <f>VLOOKUP(3,KLnord,3,FALSE)</f>
        <v>Fr</v>
      </c>
      <c r="I14" s="19">
        <f>VLOOKUP(3,KLnord,4,FALSE)</f>
        <v>0.8333333333333334</v>
      </c>
    </row>
    <row r="15" spans="1:9" ht="12.75">
      <c r="A15" s="17">
        <f>IF(B15="Mo",Spieltage!$B$13,IF(B15="Di",Spieltage!$B$14,IF(B15="Mi",Spieltage!$B$15,IF(B15="Do",Spieltage!$B$16,IF(B15="Fr",Spieltage!$B$17,"")))))</f>
        <v>41536</v>
      </c>
      <c r="B15" t="str">
        <f>VLOOKUP(6,KLnord,3,FALSE)</f>
        <v>Do</v>
      </c>
      <c r="C15" s="19">
        <f>VLOOKUP(6,KLnord,4,FALSE)</f>
        <v>0.8125</v>
      </c>
      <c r="D15" t="str">
        <f>VLOOKUP(6,KLnord,2,FALSE)</f>
        <v>TTG Wustweiler-Uchtelfangen </v>
      </c>
      <c r="E15" s="18" t="s">
        <v>35</v>
      </c>
      <c r="F15" t="str">
        <f>VLOOKUP(10,KLnord,2,FALSE)</f>
        <v>spielfrei</v>
      </c>
      <c r="G15" s="17">
        <f>IF(H15="Mo",Spieltage!$F$13,IF(H15="Di",Spieltage!$F$14,IF(H15="Mi",Spieltage!$F$15,IF(H15="Do",Spieltage!$F$16,IF(H15="Fr",Spieltage!$F$17,"")))))</f>
      </c>
      <c r="H15" t="str">
        <f>VLOOKUP(10,KLnord,3,FALSE)</f>
        <v> </v>
      </c>
      <c r="I15" s="19" t="str">
        <f>VLOOKUP(10,KLnord,4,FALSE)</f>
        <v> </v>
      </c>
    </row>
    <row r="16" spans="1:9" ht="12.75">
      <c r="A16" s="17">
        <f>IF(B16="Mo",Spieltage!$B$13,IF(B16="Di",Spieltage!$B$14,IF(B16="Mi",Spieltage!$B$15,IF(B16="Do",Spieltage!$B$16,IF(B16="Fr",Spieltage!$B$17,"")))))</f>
        <v>41536</v>
      </c>
      <c r="B16" t="str">
        <f>VLOOKUP(7,KLnord,3,FALSE)</f>
        <v>Do</v>
      </c>
      <c r="C16" s="19">
        <f>VLOOKUP(7,KLnord,4,FALSE)</f>
        <v>0.8125</v>
      </c>
      <c r="D16" t="str">
        <f>VLOOKUP(7,KLnord,2,FALSE)</f>
        <v>TTV Berschweiler </v>
      </c>
      <c r="E16" s="18" t="s">
        <v>35</v>
      </c>
      <c r="F16" t="str">
        <f>VLOOKUP(4,KLnord,2,FALSE)</f>
        <v>TTC Limbach e.V.</v>
      </c>
      <c r="G16" s="17">
        <f>IF(H16="Mo",Spieltage!$F$13,IF(H16="Di",Spieltage!$F$14,IF(H16="Mi",Spieltage!$F$15,IF(H16="Do",Spieltage!$F$16,IF(H16="Fr",Spieltage!$F$17,"")))))</f>
        <v>41663</v>
      </c>
      <c r="H16" t="str">
        <f>VLOOKUP(4,KLnord,3,FALSE)</f>
        <v>Fr</v>
      </c>
      <c r="I16" s="19">
        <f>VLOOKUP(4,KLnord,4,FALSE)</f>
        <v>0.8125</v>
      </c>
    </row>
    <row r="17" spans="1:9" ht="12.75">
      <c r="A17" s="17">
        <f>IF(B17="Mo",Spieltage!$B$13,IF(B17="Di",Spieltage!$B$14,IF(B17="Mi",Spieltage!$B$15,IF(B17="Do",Spieltage!$B$16,IF(B17="Fr",Spieltage!$B$17,"")))))</f>
        <v>41535</v>
      </c>
      <c r="B17" t="str">
        <f>VLOOKUP(8,KLnord,3,FALSE)</f>
        <v>Mi</v>
      </c>
      <c r="C17" s="19">
        <f>VLOOKUP(8,KLnord,4,FALSE)</f>
        <v>0.8125</v>
      </c>
      <c r="D17" t="str">
        <f>VLOOKUP(8,KLnord,2,FALSE)</f>
        <v>SV Remmesweiler</v>
      </c>
      <c r="E17" s="18" t="s">
        <v>35</v>
      </c>
      <c r="F17" t="str">
        <f>VLOOKUP(5,KLnord,2,FALSE)</f>
        <v>TTC Schmelz</v>
      </c>
      <c r="G17" s="17">
        <f>IF(H17="Mo",Spieltage!$F$13,IF(H17="Di",Spieltage!$F$14,IF(H17="Mi",Spieltage!$F$15,IF(H17="Do",Spieltage!$F$16,IF(H17="Fr",Spieltage!$F$17,"")))))</f>
        <v>41661</v>
      </c>
      <c r="H17" t="str">
        <f>VLOOKUP(5,KLnord,3,FALSE)</f>
        <v>Mi</v>
      </c>
      <c r="I17" s="19">
        <f>VLOOKUP(5,KLnord,4,FALSE)</f>
        <v>0.84375</v>
      </c>
    </row>
    <row r="18" spans="1:9" ht="12.75">
      <c r="A18" s="17">
        <f>IF(B18="Mo",Spieltage!$B$13,IF(B18="Di",Spieltage!$B$14,IF(B18="Mi",Spieltage!$B$15,IF(B18="Do",Spieltage!$B$16,IF(B18="Fr",Spieltage!$B$17,"")))))</f>
        <v>41537</v>
      </c>
      <c r="B18" t="str">
        <f>VLOOKUP(9,KLnord,3,FALSE)</f>
        <v>Fr</v>
      </c>
      <c r="C18" s="19">
        <f>VLOOKUP(9,KLnord,4,FALSE)</f>
        <v>0.7916666666666666</v>
      </c>
      <c r="D18" t="str">
        <f>VLOOKUP(9,KLnord,2,FALSE)</f>
        <v>TTC Wemmetsweiler</v>
      </c>
      <c r="E18" s="18" t="s">
        <v>35</v>
      </c>
      <c r="F18" t="str">
        <f>VLOOKUP(2,KLnord,2,FALSE)</f>
        <v>SG TTV Niederlinxweiler/ DJK TT Ottweiler</v>
      </c>
      <c r="G18" s="17">
        <f>IF(H18="Mo",Spieltage!$F$13,IF(H18="Di",Spieltage!$F$14,IF(H18="Mi",Spieltage!$F$15,IF(H18="Do",Spieltage!$F$16,IF(H18="Fr",Spieltage!$F$17,"")))))</f>
        <v>41659</v>
      </c>
      <c r="H18" t="str">
        <f>VLOOKUP(2,KLnord,3,FALSE)</f>
        <v>Mo</v>
      </c>
      <c r="I18" s="19">
        <f>VLOOKUP(2,KLnord,4,FALSE)</f>
        <v>0.8125</v>
      </c>
    </row>
    <row r="20" spans="1:9" ht="12.75">
      <c r="A20" s="17">
        <f>IF(B20="Mo",Spieltage!$B$18,IF(B20="Di",Spieltage!$B$19,IF(B20="Mi",Spieltage!$B$20,IF(B20="Do",Spieltage!$B$21,IF(B20="Fr",Spieltage!$B$22,"")))))</f>
        <v>41540</v>
      </c>
      <c r="B20" t="str">
        <f>VLOOKUP(2,KLnord,3,FALSE)</f>
        <v>Mo</v>
      </c>
      <c r="C20" s="19">
        <f>VLOOKUP(2,KLnord,4,FALSE)</f>
        <v>0.8125</v>
      </c>
      <c r="D20" t="str">
        <f>VLOOKUP(2,KLnord,2,FALSE)</f>
        <v>SG TTV Niederlinxweiler/ DJK TT Ottweiler</v>
      </c>
      <c r="E20" s="18" t="s">
        <v>35</v>
      </c>
      <c r="F20" t="str">
        <f>VLOOKUP(1,KLnord,2,FALSE)</f>
        <v>TTC Kerpen Illingen</v>
      </c>
      <c r="G20" s="17">
        <f>IF(H20="Mo",Spieltage!$F$18,IF(H20="Di",Spieltage!$F$19,IF(H20="Mi",Spieltage!$F$20,IF(H20="Do",Spieltage!$F$21,IF(H20="Fr",Spieltage!$F$22,"")))))</f>
        <v>41666</v>
      </c>
      <c r="H20" t="str">
        <f>VLOOKUP(1,KLnord,3,FALSE)</f>
        <v>Mo</v>
      </c>
      <c r="I20" s="19">
        <f>VLOOKUP(1,KLnord,4,FALSE)</f>
        <v>0.8125</v>
      </c>
    </row>
    <row r="21" spans="1:9" ht="12.75">
      <c r="A21" s="17">
        <f>IF(B21="Mo",Spieltage!$B$18,IF(B21="Di",Spieltage!$B$19,IF(B21="Mi",Spieltage!$B$20,IF(B21="Do",Spieltage!$B$21,IF(B21="Fr",Spieltage!$B$22,"")))))</f>
        <v>41544</v>
      </c>
      <c r="B21" t="str">
        <f>VLOOKUP(3,KLnord,3,FALSE)</f>
        <v>Fr</v>
      </c>
      <c r="C21" s="19">
        <f>VLOOKUP(3,KLnord,4,FALSE)</f>
        <v>0.8333333333333334</v>
      </c>
      <c r="D21" t="str">
        <f>VLOOKUP(3,KLnord,2,FALSE)</f>
        <v>TTC Urexweiler </v>
      </c>
      <c r="E21" s="18" t="s">
        <v>35</v>
      </c>
      <c r="F21" t="str">
        <f>VLOOKUP(9,KLnord,2,FALSE)</f>
        <v>TTC Wemmetsweiler</v>
      </c>
      <c r="G21" s="17">
        <f>IF(H21="Mo",Spieltage!$F$18,IF(H21="Di",Spieltage!$F$19,IF(H21="Mi",Spieltage!$F$20,IF(H21="Do",Spieltage!$F$21,IF(H21="Fr",Spieltage!$F$22,"")))))</f>
        <v>41670</v>
      </c>
      <c r="H21" t="str">
        <f>VLOOKUP(9,KLnord,3,FALSE)</f>
        <v>Fr</v>
      </c>
      <c r="I21" s="19">
        <f>VLOOKUP(9,KLnord,4,FALSE)</f>
        <v>0.7916666666666666</v>
      </c>
    </row>
    <row r="22" spans="1:9" ht="12.75">
      <c r="A22" s="17">
        <f>IF(B22="Mo",Spieltage!$B$18,IF(B22="Di",Spieltage!$B$19,IF(B22="Mi",Spieltage!$B$20,IF(B22="Do",Spieltage!$B$21,IF(B22="Fr",Spieltage!$B$22,"")))))</f>
        <v>41544</v>
      </c>
      <c r="B22" t="str">
        <f>VLOOKUP(4,KLnord,3,FALSE)</f>
        <v>Fr</v>
      </c>
      <c r="C22" s="19">
        <f>VLOOKUP(4,KLnord,4,FALSE)</f>
        <v>0.8125</v>
      </c>
      <c r="D22" t="str">
        <f>VLOOKUP(4,KLnord,2,FALSE)</f>
        <v>TTC Limbach e.V.</v>
      </c>
      <c r="E22" s="18" t="s">
        <v>35</v>
      </c>
      <c r="F22" t="str">
        <f>VLOOKUP(8,KLnord,2,FALSE)</f>
        <v>SV Remmesweiler</v>
      </c>
      <c r="G22" s="17">
        <f>IF(H22="Mo",Spieltage!$F$18,IF(H22="Di",Spieltage!$F$19,IF(H22="Mi",Spieltage!$F$20,IF(H22="Do",Spieltage!$F$21,IF(H22="Fr",Spieltage!$F$22,"")))))</f>
        <v>41668</v>
      </c>
      <c r="H22" t="str">
        <f>VLOOKUP(8,KLnord,3,FALSE)</f>
        <v>Mi</v>
      </c>
      <c r="I22" s="19">
        <f>VLOOKUP(8,KLnord,4,FALSE)</f>
        <v>0.8125</v>
      </c>
    </row>
    <row r="23" spans="1:9" ht="12.75">
      <c r="A23" s="17">
        <f>IF(B23="Mo",Spieltage!$B$18,IF(B23="Di",Spieltage!$B$19,IF(B23="Mi",Spieltage!$B$20,IF(B23="Do",Spieltage!$B$21,IF(B23="Fr",Spieltage!$B$22,"")))))</f>
        <v>41542</v>
      </c>
      <c r="B23" t="str">
        <f>VLOOKUP(5,KLnord,3,FALSE)</f>
        <v>Mi</v>
      </c>
      <c r="C23" s="19">
        <f>VLOOKUP(5,KLnord,4,FALSE)</f>
        <v>0.84375</v>
      </c>
      <c r="D23" t="str">
        <f>VLOOKUP(5,KLnord,2,FALSE)</f>
        <v>TTC Schmelz</v>
      </c>
      <c r="E23" s="18" t="s">
        <v>35</v>
      </c>
      <c r="F23" t="str">
        <f>VLOOKUP(6,KLnord,2,FALSE)</f>
        <v>TTG Wustweiler-Uchtelfangen </v>
      </c>
      <c r="G23" s="17">
        <f>IF(H23="Mo",Spieltage!$F$18,IF(H23="Di",Spieltage!$F$19,IF(H23="Mi",Spieltage!$F$20,IF(H23="Do",Spieltage!$F$21,IF(H23="Fr",Spieltage!$F$22,"")))))</f>
        <v>41669</v>
      </c>
      <c r="H23" t="str">
        <f>VLOOKUP(6,KLnord,3,FALSE)</f>
        <v>Do</v>
      </c>
      <c r="I23" s="19">
        <f>VLOOKUP(6,KLnord,4,FALSE)</f>
        <v>0.8125</v>
      </c>
    </row>
    <row r="24" spans="1:9" ht="12.75">
      <c r="A24" s="17">
        <f>IF(B24="Mo",Spieltage!$B$18,IF(B24="Di",Spieltage!$B$19,IF(B24="Mi",Spieltage!$B$20,IF(B24="Do",Spieltage!$B$21,IF(B24="Fr",Spieltage!$B$22,"")))))</f>
      </c>
      <c r="B24" t="str">
        <f>VLOOKUP(10,KLnord,3,FALSE)</f>
        <v> </v>
      </c>
      <c r="C24" s="19" t="str">
        <f>VLOOKUP(10,KLnord,4,FALSE)</f>
        <v> </v>
      </c>
      <c r="D24" t="str">
        <f>VLOOKUP(10,KLnord,2,FALSE)</f>
        <v>spielfrei</v>
      </c>
      <c r="E24" s="18" t="s">
        <v>35</v>
      </c>
      <c r="F24" t="str">
        <f>VLOOKUP(7,KLnord,2,FALSE)</f>
        <v>TTV Berschweiler </v>
      </c>
      <c r="G24" s="17">
        <f>IF(H24="Mo",Spieltage!$F$18,IF(H24="Di",Spieltage!$F$19,IF(H24="Mi",Spieltage!$F$20,IF(H24="Do",Spieltage!$F$21,IF(H24="Fr",Spieltage!$F$22,"")))))</f>
        <v>41669</v>
      </c>
      <c r="H24" t="str">
        <f>VLOOKUP(7,KLnord,3,FALSE)</f>
        <v>Do</v>
      </c>
      <c r="I24" s="19">
        <f>VLOOKUP(7,KLnord,4,FALSE)</f>
        <v>0.8125</v>
      </c>
    </row>
    <row r="26" spans="1:9" ht="12.75">
      <c r="A26" s="17">
        <f>IF(B26="Mo",Spieltage!$B$23,IF(B26="Di",Spieltage!$B$24,IF(B26="Mi",Spieltage!$B$25,IF(B26="Do",Spieltage!$B$26,IF(B26="Fr",Spieltage!$B$27,"")))))</f>
        <v>41554</v>
      </c>
      <c r="B26" t="str">
        <f>VLOOKUP(1,KLnord,3,FALSE)</f>
        <v>Mo</v>
      </c>
      <c r="C26" s="19">
        <f>VLOOKUP(1,KLnord,4,FALSE)</f>
        <v>0.8125</v>
      </c>
      <c r="D26" t="str">
        <f>VLOOKUP(1,KLnord,2,FALSE)</f>
        <v>TTC Kerpen Illingen</v>
      </c>
      <c r="E26" s="18" t="s">
        <v>35</v>
      </c>
      <c r="F26" t="str">
        <f>VLOOKUP(6,KLnord,2,FALSE)</f>
        <v>TTG Wustweiler-Uchtelfangen </v>
      </c>
      <c r="G26" s="17">
        <f>IF(H26="Mo",Spieltage!$F$23,IF(H26="Di",Spieltage!$F$24,IF(H26="Mi",Spieltage!$F$25,IF(H26="Do",Spieltage!$F$26,IF(H26="Fr",Spieltage!$F$27,"")))))</f>
        <v>41676</v>
      </c>
      <c r="H26" t="str">
        <f>VLOOKUP(6,KLnord,3,FALSE)</f>
        <v>Do</v>
      </c>
      <c r="I26" s="19">
        <f>VLOOKUP(6,KLnord,4,FALSE)</f>
        <v>0.8125</v>
      </c>
    </row>
    <row r="27" spans="1:9" ht="12.75">
      <c r="A27" s="17">
        <f>IF(B27="Mo",Spieltage!$B$23,IF(B27="Di",Spieltage!$B$24,IF(B27="Mi",Spieltage!$B$25,IF(B27="Do",Spieltage!$B$26,IF(B27="Fr",Spieltage!$B$27,"")))))</f>
        <v>41554</v>
      </c>
      <c r="B27" t="str">
        <f>VLOOKUP(2,KLnord,3,FALSE)</f>
        <v>Mo</v>
      </c>
      <c r="C27" s="19">
        <f>VLOOKUP(2,KLnord,4,FALSE)</f>
        <v>0.8125</v>
      </c>
      <c r="D27" t="str">
        <f>VLOOKUP(2,KLnord,2,FALSE)</f>
        <v>SG TTV Niederlinxweiler/ DJK TT Ottweiler</v>
      </c>
      <c r="E27" s="18" t="s">
        <v>35</v>
      </c>
      <c r="F27" t="str">
        <f>VLOOKUP(3,KLnord,2,FALSE)</f>
        <v>TTC Urexweiler </v>
      </c>
      <c r="G27" s="17">
        <f>IF(H27="Mo",Spieltage!$F$23,IF(H27="Di",Spieltage!$F$24,IF(H27="Mi",Spieltage!$F$25,IF(H27="Do",Spieltage!$F$26,IF(H27="Fr",Spieltage!$F$27,"")))))</f>
        <v>41677</v>
      </c>
      <c r="H27" t="str">
        <f>VLOOKUP(3,KLnord,3,FALSE)</f>
        <v>Fr</v>
      </c>
      <c r="I27" s="19">
        <f>VLOOKUP(3,KLnord,4,FALSE)</f>
        <v>0.8333333333333334</v>
      </c>
    </row>
    <row r="28" spans="1:9" ht="12.75">
      <c r="A28" s="17">
        <f>IF(B28="Mo",Spieltage!$B$23,IF(B28="Di",Spieltage!$B$24,IF(B28="Mi",Spieltage!$B$25,IF(B28="Do",Spieltage!$B$26,IF(B28="Fr",Spieltage!$B$27,"")))))</f>
        <v>41557</v>
      </c>
      <c r="B28" t="str">
        <f>VLOOKUP(7,KLnord,3,FALSE)</f>
        <v>Do</v>
      </c>
      <c r="C28" s="19">
        <f>VLOOKUP(7,KLnord,4,FALSE)</f>
        <v>0.8125</v>
      </c>
      <c r="D28" t="str">
        <f>VLOOKUP(7,KLnord,2,FALSE)</f>
        <v>TTV Berschweiler </v>
      </c>
      <c r="E28" s="18" t="s">
        <v>35</v>
      </c>
      <c r="F28" t="str">
        <f>VLOOKUP(5,KLnord,2,FALSE)</f>
        <v>TTC Schmelz</v>
      </c>
      <c r="G28" s="17">
        <f>IF(H28="Mo",Spieltage!$F$23,IF(H28="Di",Spieltage!$F$24,IF(H28="Mi",Spieltage!$F$25,IF(H28="Do",Spieltage!$F$26,IF(H28="Fr",Spieltage!$F$27,"")))))</f>
        <v>41675</v>
      </c>
      <c r="H28" t="str">
        <f>VLOOKUP(5,KLnord,3,FALSE)</f>
        <v>Mi</v>
      </c>
      <c r="I28" s="19">
        <f>VLOOKUP(5,KLnord,4,FALSE)</f>
        <v>0.84375</v>
      </c>
    </row>
    <row r="29" spans="1:9" ht="12.75">
      <c r="A29" s="17">
        <f>IF(B29="Mo",Spieltage!$B$23,IF(B29="Di",Spieltage!$B$24,IF(B29="Mi",Spieltage!$B$25,IF(B29="Do",Spieltage!$B$26,IF(B29="Fr",Spieltage!$B$27,"")))))</f>
        <v>41556</v>
      </c>
      <c r="B29" t="str">
        <f>VLOOKUP(8,KLnord,3,FALSE)</f>
        <v>Mi</v>
      </c>
      <c r="C29" s="19">
        <f>VLOOKUP(8,KLnord,4,FALSE)</f>
        <v>0.8125</v>
      </c>
      <c r="D29" t="str">
        <f>VLOOKUP(8,KLnord,2,FALSE)</f>
        <v>SV Remmesweiler</v>
      </c>
      <c r="E29" s="18" t="s">
        <v>35</v>
      </c>
      <c r="F29" t="str">
        <f>VLOOKUP(10,KLnord,2,FALSE)</f>
        <v>spielfrei</v>
      </c>
      <c r="G29" s="17">
        <f>IF(H29="Mo",Spieltage!$F$23,IF(H29="Di",Spieltage!$F$24,IF(H29="Mi",Spieltage!$F$25,IF(H29="Do",Spieltage!$F$26,IF(H29="Fr",Spieltage!$F$27,"")))))</f>
      </c>
      <c r="H29" t="str">
        <f>VLOOKUP(10,KLnord,3,FALSE)</f>
        <v> </v>
      </c>
      <c r="I29" s="19" t="str">
        <f>VLOOKUP(10,KLnord,4,FALSE)</f>
        <v> </v>
      </c>
    </row>
    <row r="30" spans="1:9" ht="12.75">
      <c r="A30" s="17">
        <f>IF(B30="Mo",Spieltage!$B$23,IF(B30="Di",Spieltage!$B$24,IF(B30="Mi",Spieltage!$B$25,IF(B30="Do",Spieltage!$B$26,IF(B30="Fr",Spieltage!$B$27,"")))))</f>
        <v>41558</v>
      </c>
      <c r="B30" t="str">
        <f>VLOOKUP(9,KLnord,3,FALSE)</f>
        <v>Fr</v>
      </c>
      <c r="C30" s="19">
        <f>VLOOKUP(9,KLnord,4,FALSE)</f>
        <v>0.7916666666666666</v>
      </c>
      <c r="D30" t="str">
        <f>VLOOKUP(9,KLnord,2,FALSE)</f>
        <v>TTC Wemmetsweiler</v>
      </c>
      <c r="E30" s="18" t="s">
        <v>35</v>
      </c>
      <c r="F30" t="str">
        <f>VLOOKUP(4,KLnord,2,FALSE)</f>
        <v>TTC Limbach e.V.</v>
      </c>
      <c r="G30" s="17">
        <f>IF(H30="Mo",Spieltage!$F$23,IF(H30="Di",Spieltage!$F$24,IF(H30="Mi",Spieltage!$F$25,IF(H30="Do",Spieltage!$F$26,IF(H30="Fr",Spieltage!$F$27,"")))))</f>
        <v>41677</v>
      </c>
      <c r="H30" t="str">
        <f>VLOOKUP(4,KLnord,3,FALSE)</f>
        <v>Fr</v>
      </c>
      <c r="I30" s="19">
        <f>VLOOKUP(4,KLnord,4,FALSE)</f>
        <v>0.8125</v>
      </c>
    </row>
    <row r="32" spans="1:9" ht="12.75">
      <c r="A32" s="17">
        <f>IF(B32="Mo",Spieltage!$B$28,IF(B32="Di",Spieltage!$B$29,IF(B32="Mi",Spieltage!$B$30,IF(B32="Do",Spieltage!$B$31,IF(B32="Fr",Spieltage!$B$32,"")))))</f>
        <v>41565</v>
      </c>
      <c r="B32" t="str">
        <f>VLOOKUP(3,KLnord,3,FALSE)</f>
        <v>Fr</v>
      </c>
      <c r="C32" s="19">
        <f>VLOOKUP(3,KLnord,4,FALSE)</f>
        <v>0.8333333333333334</v>
      </c>
      <c r="D32" t="str">
        <f>VLOOKUP(3,KLnord,2,FALSE)</f>
        <v>TTC Urexweiler </v>
      </c>
      <c r="E32" s="18" t="s">
        <v>35</v>
      </c>
      <c r="F32" t="str">
        <f>VLOOKUP(8,KLnord,2,FALSE)</f>
        <v>SV Remmesweiler</v>
      </c>
      <c r="G32" s="17">
        <f>IF(H32="Mo",Spieltage!$F$28,IF(H32="Di",Spieltage!$F$29,IF(H32="Mi",Spieltage!$F$30,IF(H32="Do",Spieltage!$F$31,IF(H32="Fr",Spieltage!$F$32,"")))))</f>
        <v>41682</v>
      </c>
      <c r="H32" t="str">
        <f>VLOOKUP(8,KLnord,3,FALSE)</f>
        <v>Mi</v>
      </c>
      <c r="I32" s="19">
        <f>VLOOKUP(8,KLnord,4,FALSE)</f>
        <v>0.8125</v>
      </c>
    </row>
    <row r="33" spans="1:9" ht="12.75">
      <c r="A33" s="17">
        <f>IF(B33="Mo",Spieltage!$B$28,IF(B33="Di",Spieltage!$B$29,IF(B33="Mi",Spieltage!$B$30,IF(B33="Do",Spieltage!$B$31,IF(B33="Fr",Spieltage!$B$32,"")))))</f>
        <v>41565</v>
      </c>
      <c r="B33" t="str">
        <f>VLOOKUP(4,KLnord,3,FALSE)</f>
        <v>Fr</v>
      </c>
      <c r="C33" s="19">
        <f>VLOOKUP(4,KLnord,4,FALSE)</f>
        <v>0.8125</v>
      </c>
      <c r="D33" t="str">
        <f>VLOOKUP(4,KLnord,2,FALSE)</f>
        <v>TTC Limbach e.V.</v>
      </c>
      <c r="E33" s="18" t="s">
        <v>35</v>
      </c>
      <c r="F33" t="str">
        <f>VLOOKUP(2,KLnord,2,FALSE)</f>
        <v>SG TTV Niederlinxweiler/ DJK TT Ottweiler</v>
      </c>
      <c r="G33" s="17">
        <f>IF(H33="Mo",Spieltage!$F$28,IF(H33="Di",Spieltage!$F$29,IF(H33="Mi",Spieltage!$F$30,IF(H33="Do",Spieltage!$F$31,IF(H33="Fr",Spieltage!$F$32,"")))))</f>
        <v>41680</v>
      </c>
      <c r="H33" t="str">
        <f>VLOOKUP(2,KLnord,3,FALSE)</f>
        <v>Mo</v>
      </c>
      <c r="I33" s="19">
        <f>VLOOKUP(2,KLnord,4,FALSE)</f>
        <v>0.8125</v>
      </c>
    </row>
    <row r="34" spans="1:9" ht="12.75">
      <c r="A34" s="17">
        <f>IF(B34="Mo",Spieltage!$B$28,IF(B34="Di",Spieltage!$B$29,IF(B34="Mi",Spieltage!$B$30,IF(B34="Do",Spieltage!$B$31,IF(B34="Fr",Spieltage!$B$32,"")))))</f>
        <v>41563</v>
      </c>
      <c r="B34" t="str">
        <f>VLOOKUP(5,KLnord,3,FALSE)</f>
        <v>Mi</v>
      </c>
      <c r="C34" s="19">
        <f>VLOOKUP(5,KLnord,4,FALSE)</f>
        <v>0.84375</v>
      </c>
      <c r="D34" t="str">
        <f>VLOOKUP(5,KLnord,2,FALSE)</f>
        <v>TTC Schmelz</v>
      </c>
      <c r="E34" s="18" t="s">
        <v>35</v>
      </c>
      <c r="F34" t="str">
        <f>VLOOKUP(9,KLnord,2,FALSE)</f>
        <v>TTC Wemmetsweiler</v>
      </c>
      <c r="G34" s="17">
        <f>IF(H34="Mo",Spieltage!$F$28,IF(H34="Di",Spieltage!$F$29,IF(H34="Mi",Spieltage!$F$30,IF(H34="Do",Spieltage!$F$31,IF(H34="Fr",Spieltage!$F$32,"")))))</f>
        <v>41684</v>
      </c>
      <c r="H34" t="str">
        <f>VLOOKUP(9,KLnord,3,FALSE)</f>
        <v>Fr</v>
      </c>
      <c r="I34" s="19">
        <f>VLOOKUP(9,KLnord,4,FALSE)</f>
        <v>0.7916666666666666</v>
      </c>
    </row>
    <row r="35" spans="1:9" ht="12.75">
      <c r="A35" s="17">
        <f>IF(B35="Mo",Spieltage!$B$28,IF(B35="Di",Spieltage!$B$29,IF(B35="Mi",Spieltage!$B$30,IF(B35="Do",Spieltage!$B$31,IF(B35="Fr",Spieltage!$B$32,"")))))</f>
        <v>41564</v>
      </c>
      <c r="B35" t="str">
        <f>VLOOKUP(6,KLnord,3,FALSE)</f>
        <v>Do</v>
      </c>
      <c r="C35" s="19">
        <f>VLOOKUP(6,KLnord,4,FALSE)</f>
        <v>0.8125</v>
      </c>
      <c r="D35" t="str">
        <f>VLOOKUP(6,KLnord,2,FALSE)</f>
        <v>TTG Wustweiler-Uchtelfangen </v>
      </c>
      <c r="E35" s="18" t="s">
        <v>35</v>
      </c>
      <c r="F35" t="str">
        <f>VLOOKUP(7,KLnord,2,FALSE)</f>
        <v>TTV Berschweiler </v>
      </c>
      <c r="G35" s="17">
        <f>IF(H35="Mo",Spieltage!$F$28,IF(H35="Di",Spieltage!$F$29,IF(H35="Mi",Spieltage!$F$30,IF(H35="Do",Spieltage!$F$31,IF(H35="Fr",Spieltage!$F$32,"")))))</f>
        <v>41683</v>
      </c>
      <c r="H35" t="str">
        <f>VLOOKUP(7,KLnord,3,FALSE)</f>
        <v>Do</v>
      </c>
      <c r="I35" s="19">
        <f>VLOOKUP(7,KLnord,4,FALSE)</f>
        <v>0.8125</v>
      </c>
    </row>
    <row r="36" spans="1:9" ht="12.75">
      <c r="A36" s="17">
        <f>IF(B36="Mo",Spieltage!$B$28,IF(B36="Di",Spieltage!$B$29,IF(B36="Mi",Spieltage!$B$30,IF(B36="Do",Spieltage!$B$31,IF(B36="Fr",Spieltage!$B$32,"")))))</f>
      </c>
      <c r="B36" t="str">
        <f>VLOOKUP(10,KLnord,3,FALSE)</f>
        <v> </v>
      </c>
      <c r="C36" s="19" t="str">
        <f>VLOOKUP(10,KLnord,4,FALSE)</f>
        <v> </v>
      </c>
      <c r="D36" t="str">
        <f>VLOOKUP(10,KLnord,2,FALSE)</f>
        <v>spielfrei</v>
      </c>
      <c r="E36" s="18" t="s">
        <v>35</v>
      </c>
      <c r="F36" t="str">
        <f>VLOOKUP(1,KLnord,2,FALSE)</f>
        <v>TTC Kerpen Illingen</v>
      </c>
      <c r="G36" s="17">
        <f>IF(H36="Mo",Spieltage!$F$28,IF(H36="Di",Spieltage!$F$29,IF(H36="Mi",Spieltage!$F$30,IF(H36="Do",Spieltage!$F$31,IF(H36="Fr",Spieltage!$F$32,"")))))</f>
        <v>41680</v>
      </c>
      <c r="H36" t="str">
        <f>VLOOKUP(1,KLnord,3,FALSE)</f>
        <v>Mo</v>
      </c>
      <c r="I36" s="19">
        <f>VLOOKUP(1,KLnord,4,FALSE)</f>
        <v>0.8125</v>
      </c>
    </row>
    <row r="38" spans="1:9" ht="12.75">
      <c r="A38" s="17">
        <f>IF(B38="Mo",Spieltage!$B$33,IF(B38="Di",Spieltage!$B$34,IF(B38="Mi",Spieltage!$B$35,IF(B38="Do",Spieltage!$B$36,IF(B38="Fr",Spieltage!$B$37,"")))))</f>
        <v>41582</v>
      </c>
      <c r="B38" t="str">
        <f>VLOOKUP(1,KLnord,3,FALSE)</f>
        <v>Mo</v>
      </c>
      <c r="C38" s="19">
        <f>VLOOKUP(1,KLnord,4,FALSE)</f>
        <v>0.8125</v>
      </c>
      <c r="D38" t="str">
        <f>VLOOKUP(1,KLnord,2,FALSE)</f>
        <v>TTC Kerpen Illingen</v>
      </c>
      <c r="E38" s="18" t="s">
        <v>35</v>
      </c>
      <c r="F38" t="str">
        <f>VLOOKUP(5,KLnord,2,FALSE)</f>
        <v>TTC Schmelz</v>
      </c>
      <c r="G38" s="17">
        <f>IF(H38="Mo",Spieltage!$F$33,IF(H38="Di",Spieltage!$F$34,IF(H38="Mi",Spieltage!$F$35,IF(H38="Do",Spieltage!$F$36,IF(H38="Fr",Spieltage!$F$37,"")))))</f>
        <v>41689</v>
      </c>
      <c r="H38" t="str">
        <f>VLOOKUP(5,KLnord,3,FALSE)</f>
        <v>Mi</v>
      </c>
      <c r="I38" s="19">
        <f>VLOOKUP(5,KLnord,4,FALSE)</f>
        <v>0.84375</v>
      </c>
    </row>
    <row r="39" spans="1:9" ht="12.75">
      <c r="A39" s="17">
        <f>IF(B39="Mo",Spieltage!$B$33,IF(B39="Di",Spieltage!$B$34,IF(B39="Mi",Spieltage!$B$35,IF(B39="Do",Spieltage!$B$36,IF(B39="Fr",Spieltage!$B$37,"")))))</f>
        <v>41582</v>
      </c>
      <c r="B39" t="str">
        <f>VLOOKUP(2,KLnord,3,FALSE)</f>
        <v>Mo</v>
      </c>
      <c r="C39" s="19">
        <f>VLOOKUP(2,KLnord,4,FALSE)</f>
        <v>0.8125</v>
      </c>
      <c r="D39" t="str">
        <f>VLOOKUP(2,KLnord,2,FALSE)</f>
        <v>SG TTV Niederlinxweiler/ DJK TT Ottweiler</v>
      </c>
      <c r="E39" s="18" t="s">
        <v>35</v>
      </c>
      <c r="F39" t="str">
        <f>VLOOKUP(10,KLnord,2,FALSE)</f>
        <v>spielfrei</v>
      </c>
      <c r="G39" s="17">
        <f>IF(H39="Mo",Spieltage!$F$33,IF(H39="Di",Spieltage!$F$34,IF(H39="Mi",Spieltage!$F$35,IF(H39="Do",Spieltage!$F$36,IF(H39="Fr",Spieltage!$F$37,"")))))</f>
      </c>
      <c r="H39" t="str">
        <f>VLOOKUP(10,KLnord,3,FALSE)</f>
        <v> </v>
      </c>
      <c r="I39" s="19" t="str">
        <f>VLOOKUP(10,KLnord,4,FALSE)</f>
        <v> </v>
      </c>
    </row>
    <row r="40" spans="1:9" ht="12.75">
      <c r="A40" s="17">
        <f>IF(B40="Mo",Spieltage!$B$33,IF(B40="Di",Spieltage!$B$34,IF(B40="Mi",Spieltage!$B$35,IF(B40="Do",Spieltage!$B$36,IF(B40="Fr",Spieltage!$B$37,"")))))</f>
        <v>41586</v>
      </c>
      <c r="B40" t="str">
        <f>VLOOKUP(3,KLnord,3,FALSE)</f>
        <v>Fr</v>
      </c>
      <c r="C40" s="19">
        <f>VLOOKUP(3,KLnord,4,FALSE)</f>
        <v>0.8333333333333334</v>
      </c>
      <c r="D40" t="str">
        <f>VLOOKUP(3,KLnord,2,FALSE)</f>
        <v>TTC Urexweiler </v>
      </c>
      <c r="E40" s="18" t="s">
        <v>35</v>
      </c>
      <c r="F40" t="str">
        <f>VLOOKUP(4,KLnord,2,FALSE)</f>
        <v>TTC Limbach e.V.</v>
      </c>
      <c r="G40" s="17">
        <f>IF(H40="Mo",Spieltage!$F$33,IF(H40="Di",Spieltage!$F$34,IF(H40="Mi",Spieltage!$F$35,IF(H40="Do",Spieltage!$F$36,IF(H40="Fr",Spieltage!$F$37,"")))))</f>
        <v>41691</v>
      </c>
      <c r="H40" t="str">
        <f>VLOOKUP(4,KLnord,3,FALSE)</f>
        <v>Fr</v>
      </c>
      <c r="I40" s="19">
        <f>VLOOKUP(4,KLnord,4,FALSE)</f>
        <v>0.8125</v>
      </c>
    </row>
    <row r="41" spans="1:9" ht="12.75">
      <c r="A41" s="17">
        <f>IF(B41="Mo",Spieltage!$B$33,IF(B41="Di",Spieltage!$B$34,IF(B41="Mi",Spieltage!$B$35,IF(B41="Do",Spieltage!$B$36,IF(B41="Fr",Spieltage!$B$37,"")))))</f>
        <v>41584</v>
      </c>
      <c r="B41" t="str">
        <f>VLOOKUP(8,KLnord,3,FALSE)</f>
        <v>Mi</v>
      </c>
      <c r="C41" s="19">
        <f>VLOOKUP(8,KLnord,4,FALSE)</f>
        <v>0.8125</v>
      </c>
      <c r="D41" t="str">
        <f>VLOOKUP(8,KLnord,2,FALSE)</f>
        <v>SV Remmesweiler</v>
      </c>
      <c r="E41" s="18" t="s">
        <v>35</v>
      </c>
      <c r="F41" t="str">
        <f>VLOOKUP(7,KLnord,2,FALSE)</f>
        <v>TTV Berschweiler </v>
      </c>
      <c r="G41" s="17">
        <f>IF(H41="Mo",Spieltage!$F$33,IF(H41="Di",Spieltage!$F$34,IF(H41="Mi",Spieltage!$F$35,IF(H41="Do",Spieltage!$F$36,IF(H41="Fr",Spieltage!$F$37,"")))))</f>
        <v>41690</v>
      </c>
      <c r="H41" t="str">
        <f>VLOOKUP(7,KLnord,3,FALSE)</f>
        <v>Do</v>
      </c>
      <c r="I41" s="19">
        <f>VLOOKUP(7,KLnord,4,FALSE)</f>
        <v>0.8125</v>
      </c>
    </row>
    <row r="42" spans="1:9" ht="12.75">
      <c r="A42" s="17">
        <f>IF(B42="Mo",Spieltage!$B$33,IF(B42="Di",Spieltage!$B$34,IF(B42="Mi",Spieltage!$B$35,IF(B42="Do",Spieltage!$B$36,IF(B42="Fr",Spieltage!$B$37,"")))))</f>
        <v>41586</v>
      </c>
      <c r="B42" t="str">
        <f>VLOOKUP(9,KLnord,3,FALSE)</f>
        <v>Fr</v>
      </c>
      <c r="C42" s="19">
        <f>VLOOKUP(9,KLnord,4,FALSE)</f>
        <v>0.7916666666666666</v>
      </c>
      <c r="D42" t="str">
        <f>VLOOKUP(9,KLnord,2,FALSE)</f>
        <v>TTC Wemmetsweiler</v>
      </c>
      <c r="E42" s="18" t="s">
        <v>35</v>
      </c>
      <c r="F42" t="str">
        <f>VLOOKUP(6,KLnord,2,FALSE)</f>
        <v>TTG Wustweiler-Uchtelfangen </v>
      </c>
      <c r="G42" s="17">
        <f>IF(H42="Mo",Spieltage!$F$33,IF(H42="Di",Spieltage!$F$34,IF(H42="Mi",Spieltage!$F$35,IF(H42="Do",Spieltage!$F$36,IF(H42="Fr",Spieltage!$F$37,"")))))</f>
        <v>41690</v>
      </c>
      <c r="H42" t="str">
        <f>VLOOKUP(6,KLnord,3,FALSE)</f>
        <v>Do</v>
      </c>
      <c r="I42" s="19">
        <f>VLOOKUP(6,KLnord,4,FALSE)</f>
        <v>0.8125</v>
      </c>
    </row>
    <row r="44" spans="1:9" ht="12.75">
      <c r="A44" s="17">
        <f>IF(B44="Mo",Spieltage!$B$38,IF(B44="Di",Spieltage!$B$39,IF(B44="Mi",Spieltage!$B$40,IF(B44="Do",Spieltage!$B$41,IF(B44="Fr",Spieltage!$B$42,"")))))</f>
        <v>41593</v>
      </c>
      <c r="B44" t="str">
        <f>VLOOKUP(4,KLnord,3,FALSE)</f>
        <v>Fr</v>
      </c>
      <c r="C44" s="19">
        <f>VLOOKUP(4,KLnord,4,FALSE)</f>
        <v>0.8125</v>
      </c>
      <c r="D44" t="str">
        <f>VLOOKUP(4,KLnord,2,FALSE)</f>
        <v>TTC Limbach e.V.</v>
      </c>
      <c r="E44" s="18" t="s">
        <v>35</v>
      </c>
      <c r="F44" t="str">
        <f>VLOOKUP(1,KLnord,2,FALSE)</f>
        <v>TTC Kerpen Illingen</v>
      </c>
      <c r="G44" s="17">
        <f>IF(H44="Mo",Spieltage!$F$38,IF(H44="Di",Spieltage!$F$39,IF(H44="Mi",Spieltage!$F$40,IF(H44="Do",Spieltage!$F$41,IF(H44="Fr",Spieltage!$F$42,"")))))</f>
        <v>41708</v>
      </c>
      <c r="H44" t="str">
        <f>VLOOKUP(1,KLnord,3,FALSE)</f>
        <v>Mo</v>
      </c>
      <c r="I44" s="19">
        <f>VLOOKUP(1,KLnord,4,FALSE)</f>
        <v>0.8125</v>
      </c>
    </row>
    <row r="45" spans="1:9" ht="12.75">
      <c r="A45" s="17">
        <f>IF(B45="Mo",Spieltage!$B$38,IF(B45="Di",Spieltage!$B$39,IF(B45="Mi",Spieltage!$B$40,IF(B45="Do",Spieltage!$B$41,IF(B45="Fr",Spieltage!$B$42,"")))))</f>
        <v>41591</v>
      </c>
      <c r="B45" t="str">
        <f>VLOOKUP(5,KLnord,3,FALSE)</f>
        <v>Mi</v>
      </c>
      <c r="C45" s="19">
        <f>VLOOKUP(5,KLnord,4,FALSE)</f>
        <v>0.84375</v>
      </c>
      <c r="D45" t="str">
        <f>VLOOKUP(5,KLnord,2,FALSE)</f>
        <v>TTC Schmelz</v>
      </c>
      <c r="E45" s="18" t="s">
        <v>35</v>
      </c>
      <c r="F45" t="str">
        <f>VLOOKUP(2,KLnord,2,FALSE)</f>
        <v>SG TTV Niederlinxweiler/ DJK TT Ottweiler</v>
      </c>
      <c r="G45" s="17">
        <f>IF(H45="Mo",Spieltage!$F$38,IF(H45="Di",Spieltage!$F$39,IF(H45="Mi",Spieltage!$F$40,IF(H45="Do",Spieltage!$F$41,IF(H45="Fr",Spieltage!$F$42,"")))))</f>
        <v>41708</v>
      </c>
      <c r="H45" t="str">
        <f>VLOOKUP(2,KLnord,3,FALSE)</f>
        <v>Mo</v>
      </c>
      <c r="I45" s="19">
        <f>VLOOKUP(2,KLnord,4,FALSE)</f>
        <v>0.8125</v>
      </c>
    </row>
    <row r="46" spans="1:9" ht="12.75">
      <c r="A46" s="17">
        <f>IF(B46="Mo",Spieltage!$B$38,IF(B46="Di",Spieltage!$B$39,IF(B46="Mi",Spieltage!$B$40,IF(B46="Do",Spieltage!$B$41,IF(B46="Fr",Spieltage!$B$42,"")))))</f>
        <v>41592</v>
      </c>
      <c r="B46" t="str">
        <f>VLOOKUP(6,KLnord,3,FALSE)</f>
        <v>Do</v>
      </c>
      <c r="C46" s="19">
        <f>VLOOKUP(6,KLnord,4,FALSE)</f>
        <v>0.8125</v>
      </c>
      <c r="D46" t="str">
        <f>VLOOKUP(6,KLnord,2,FALSE)</f>
        <v>TTG Wustweiler-Uchtelfangen </v>
      </c>
      <c r="E46" s="18" t="s">
        <v>35</v>
      </c>
      <c r="F46" t="str">
        <f>VLOOKUP(8,KLnord,2,FALSE)</f>
        <v>SV Remmesweiler</v>
      </c>
      <c r="G46" s="17">
        <f>IF(H46="Mo",Spieltage!$F$38,IF(H46="Di",Spieltage!$F$39,IF(H46="Mi",Spieltage!$F$40,IF(H46="Do",Spieltage!$F$41,IF(H46="Fr",Spieltage!$F$42,"")))))</f>
        <v>41710</v>
      </c>
      <c r="H46" t="str">
        <f>VLOOKUP(8,KLnord,3,FALSE)</f>
        <v>Mi</v>
      </c>
      <c r="I46" s="19">
        <f>VLOOKUP(8,KLnord,4,FALSE)</f>
        <v>0.8125</v>
      </c>
    </row>
    <row r="47" spans="1:9" ht="12.75">
      <c r="A47" s="17">
        <f>IF(B47="Mo",Spieltage!$B$38,IF(B47="Di",Spieltage!$B$39,IF(B47="Mi",Spieltage!$B$40,IF(B47="Do",Spieltage!$B$41,IF(B47="Fr",Spieltage!$B$42,"")))))</f>
        <v>41592</v>
      </c>
      <c r="B47" t="str">
        <f>VLOOKUP(7,KLnord,3,FALSE)</f>
        <v>Do</v>
      </c>
      <c r="C47" s="19">
        <f>VLOOKUP(7,KLnord,4,FALSE)</f>
        <v>0.8125</v>
      </c>
      <c r="D47" t="str">
        <f>VLOOKUP(7,KLnord,2,FALSE)</f>
        <v>TTV Berschweiler </v>
      </c>
      <c r="E47" s="18" t="s">
        <v>35</v>
      </c>
      <c r="F47" t="str">
        <f>VLOOKUP(9,KLnord,2,FALSE)</f>
        <v>TTC Wemmetsweiler</v>
      </c>
      <c r="G47" s="17">
        <f>IF(H47="Mo",Spieltage!$F$38,IF(H47="Di",Spieltage!$F$39,IF(H47="Mi",Spieltage!$F$40,IF(H47="Do",Spieltage!$F$41,IF(H47="Fr",Spieltage!$F$42,"")))))</f>
        <v>41712</v>
      </c>
      <c r="H47" t="str">
        <f>VLOOKUP(9,KLnord,3,FALSE)</f>
        <v>Fr</v>
      </c>
      <c r="I47" s="19">
        <f>VLOOKUP(9,KLnord,4,FALSE)</f>
        <v>0.7916666666666666</v>
      </c>
    </row>
    <row r="48" spans="1:9" ht="12.75">
      <c r="A48" s="17">
        <f>IF(B48="Mo",Spieltage!$B$38,IF(B48="Di",Spieltage!$B$39,IF(B48="Mi",Spieltage!$B$40,IF(B48="Do",Spieltage!$B$41,IF(B48="Fr",Spieltage!$B$42,"")))))</f>
      </c>
      <c r="B48" t="str">
        <f>VLOOKUP(10,KLnord,3,FALSE)</f>
        <v> </v>
      </c>
      <c r="C48" s="19" t="str">
        <f>VLOOKUP(10,KLnord,4,FALSE)</f>
        <v> </v>
      </c>
      <c r="D48" t="str">
        <f>VLOOKUP(10,KLnord,2,FALSE)</f>
        <v>spielfrei</v>
      </c>
      <c r="E48" s="18" t="s">
        <v>35</v>
      </c>
      <c r="F48" t="str">
        <f>VLOOKUP(3,KLnord,2,FALSE)</f>
        <v>TTC Urexweiler </v>
      </c>
      <c r="G48" s="17">
        <f>IF(H48="Mo",Spieltage!$F$38,IF(H48="Di",Spieltage!$F$39,IF(H48="Mi",Spieltage!$F$40,IF(H48="Do",Spieltage!$F$41,IF(H48="Fr",Spieltage!$F$42,"")))))</f>
        <v>41712</v>
      </c>
      <c r="H48" t="str">
        <f>VLOOKUP(3,KLnord,3,FALSE)</f>
        <v>Fr</v>
      </c>
      <c r="I48" s="19">
        <f>VLOOKUP(3,KLnord,4,FALSE)</f>
        <v>0.8333333333333334</v>
      </c>
    </row>
    <row r="50" spans="1:9" ht="12.75">
      <c r="A50" s="17">
        <f>IF(B50="Mo",Spieltage!$B$43,IF(B50="Di",Spieltage!$B$44,IF(B50="Mi",Spieltage!$B$45,IF(B50="Do",Spieltage!$B$46,IF(B50="Fr",Spieltage!$B$47,"")))))</f>
        <v>40872</v>
      </c>
      <c r="B50" t="str">
        <f>VLOOKUP(1,KLnord,3,FALSE)</f>
        <v>Mo</v>
      </c>
      <c r="C50" s="19">
        <f>VLOOKUP(1,KLnord,4,FALSE)</f>
        <v>0.8125</v>
      </c>
      <c r="D50" t="str">
        <f>VLOOKUP(1,KLnord,2,FALSE)</f>
        <v>TTC Kerpen Illingen</v>
      </c>
      <c r="E50" s="18" t="s">
        <v>35</v>
      </c>
      <c r="F50" t="str">
        <f>VLOOKUP(7,KLnord,2,FALSE)</f>
        <v>TTV Berschweiler </v>
      </c>
      <c r="G50" s="17">
        <f>IF(H50="Mo",Spieltage!$F$43,IF(H50="Di",Spieltage!$F$44,IF(H50="Mi",Spieltage!$F$45,IF(H50="Do",Spieltage!$F$46,IF(H50="Fr",Spieltage!$F$47,"")))))</f>
        <v>41725</v>
      </c>
      <c r="H50" t="str">
        <f>VLOOKUP(7,KLnord,3,FALSE)</f>
        <v>Do</v>
      </c>
      <c r="I50" s="19">
        <f>VLOOKUP(7,KLnord,4,FALSE)</f>
        <v>0.8125</v>
      </c>
    </row>
    <row r="51" spans="1:9" ht="12.75">
      <c r="A51" s="17">
        <f>IF(B51="Mo",Spieltage!$B$43,IF(B51="Di",Spieltage!$B$44,IF(B51="Mi",Spieltage!$B$45,IF(B51="Do",Spieltage!$B$46,IF(B51="Fr",Spieltage!$B$47,"")))))</f>
        <v>40872</v>
      </c>
      <c r="B51" t="str">
        <f>VLOOKUP(2,KLnord,3,FALSE)</f>
        <v>Mo</v>
      </c>
      <c r="C51" s="19">
        <f>VLOOKUP(2,KLnord,4,FALSE)</f>
        <v>0.8125</v>
      </c>
      <c r="D51" t="str">
        <f>VLOOKUP(2,KLnord,2,FALSE)</f>
        <v>SG TTV Niederlinxweiler/ DJK TT Ottweiler</v>
      </c>
      <c r="E51" s="18" t="s">
        <v>35</v>
      </c>
      <c r="F51" t="str">
        <f>VLOOKUP(6,KLnord,2,FALSE)</f>
        <v>TTG Wustweiler-Uchtelfangen </v>
      </c>
      <c r="G51" s="17">
        <f>IF(H51="Mo",Spieltage!$F$43,IF(H51="Di",Spieltage!$F$44,IF(H51="Mi",Spieltage!$F$45,IF(H51="Do",Spieltage!$F$46,IF(H51="Fr",Spieltage!$F$47,"")))))</f>
        <v>41725</v>
      </c>
      <c r="H51" t="str">
        <f>VLOOKUP(6,KLnord,3,FALSE)</f>
        <v>Do</v>
      </c>
      <c r="I51" s="19">
        <f>VLOOKUP(6,KLnord,4,FALSE)</f>
        <v>0.8125</v>
      </c>
    </row>
    <row r="52" spans="1:9" ht="12.75">
      <c r="A52" s="17">
        <f>IF(B52="Mo",Spieltage!$B$43,IF(B52="Di",Spieltage!$B$44,IF(B52="Mi",Spieltage!$B$45,IF(B52="Do",Spieltage!$B$46,IF(B52="Fr",Spieltage!$B$47,"")))))</f>
        <v>40876</v>
      </c>
      <c r="B52" t="str">
        <f>VLOOKUP(3,KLnord,3,FALSE)</f>
        <v>Fr</v>
      </c>
      <c r="C52" s="19">
        <f>VLOOKUP(3,KLnord,4,FALSE)</f>
        <v>0.8333333333333334</v>
      </c>
      <c r="D52" t="str">
        <f>VLOOKUP(3,KLnord,2,FALSE)</f>
        <v>TTC Urexweiler </v>
      </c>
      <c r="E52" s="18" t="s">
        <v>35</v>
      </c>
      <c r="F52" t="str">
        <f>VLOOKUP(5,KLnord,2,FALSE)</f>
        <v>TTC Schmelz</v>
      </c>
      <c r="G52" s="17">
        <f>IF(H52="Mo",Spieltage!$F$43,IF(H52="Di",Spieltage!$F$44,IF(H52="Mi",Spieltage!$F$45,IF(H52="Do",Spieltage!$F$46,IF(H52="Fr",Spieltage!$F$47,"")))))</f>
        <v>41724</v>
      </c>
      <c r="H52" t="str">
        <f>VLOOKUP(5,KLnord,3,FALSE)</f>
        <v>Mi</v>
      </c>
      <c r="I52" s="19">
        <f>VLOOKUP(5,KLnord,4,FALSE)</f>
        <v>0.84375</v>
      </c>
    </row>
    <row r="53" spans="1:9" ht="12.75">
      <c r="A53" s="17">
        <f>IF(B53="Mo",Spieltage!$B$43,IF(B53="Di",Spieltage!$B$44,IF(B53="Mi",Spieltage!$B$45,IF(B53="Do",Spieltage!$B$46,IF(B53="Fr",Spieltage!$B$47,"")))))</f>
        <v>40876</v>
      </c>
      <c r="B53" t="str">
        <f>VLOOKUP(4,KLnord,3,FALSE)</f>
        <v>Fr</v>
      </c>
      <c r="C53" s="19">
        <f>VLOOKUP(4,KLnord,4,FALSE)</f>
        <v>0.8125</v>
      </c>
      <c r="D53" t="str">
        <f>VLOOKUP(4,KLnord,2,FALSE)</f>
        <v>TTC Limbach e.V.</v>
      </c>
      <c r="E53" s="18" t="s">
        <v>35</v>
      </c>
      <c r="F53" t="str">
        <f>VLOOKUP(10,KLnord,2,FALSE)</f>
        <v>spielfrei</v>
      </c>
      <c r="G53" s="17">
        <f>IF(H53="Mo",Spieltage!$F$43,IF(H53="Di",Spieltage!$F$44,IF(H53="Mi",Spieltage!$F$45,IF(H53="Do",Spieltage!$F$46,IF(H53="Fr",Spieltage!$F$47,"")))))</f>
      </c>
      <c r="H53" t="str">
        <f>VLOOKUP(10,KLnord,3,FALSE)</f>
        <v> </v>
      </c>
      <c r="I53" s="19" t="str">
        <f>VLOOKUP(10,KLnord,4,FALSE)</f>
        <v> </v>
      </c>
    </row>
    <row r="54" spans="1:9" ht="12.75">
      <c r="A54" s="17">
        <f>IF(B54="Mo",Spieltage!$B$43,IF(B54="Di",Spieltage!$B$44,IF(B54="Mi",Spieltage!$B$45,IF(B54="Do",Spieltage!$B$46,IF(B54="Fr",Spieltage!$B$47,"")))))</f>
        <v>40876</v>
      </c>
      <c r="B54" t="str">
        <f>VLOOKUP(9,KLnord,3,FALSE)</f>
        <v>Fr</v>
      </c>
      <c r="C54" s="19">
        <f>VLOOKUP(9,KLnord,4,FALSE)</f>
        <v>0.7916666666666666</v>
      </c>
      <c r="D54" t="str">
        <f>VLOOKUP(9,KLnord,2,FALSE)</f>
        <v>TTC Wemmetsweiler</v>
      </c>
      <c r="E54" s="18" t="s">
        <v>35</v>
      </c>
      <c r="F54" t="str">
        <f>VLOOKUP(8,KLnord,2,FALSE)</f>
        <v>SV Remmesweiler</v>
      </c>
      <c r="G54" s="17">
        <f>IF(H54="Mo",Spieltage!$F$43,IF(H54="Di",Spieltage!$F$44,IF(H54="Mi",Spieltage!$F$45,IF(H54="Do",Spieltage!$F$46,IF(H54="Fr",Spieltage!$F$47,"")))))</f>
        <v>41724</v>
      </c>
      <c r="H54" t="str">
        <f>VLOOKUP(8,KLnord,3,FALSE)</f>
        <v>Mi</v>
      </c>
      <c r="I54" s="19">
        <f>VLOOKUP(8,KLnord,4,FALSE)</f>
        <v>0.8125</v>
      </c>
    </row>
    <row r="56" spans="1:9" ht="12.75">
      <c r="A56" s="17">
        <f>IF(B56="Mo",Spieltage!$B$48,IF(B56="Di",Spieltage!$B$49,IF(B56="Mi",Spieltage!$B$50,IF(B56="Do",Spieltage!$B$51,IF(B56="Fr",Spieltage!$B$52,"")))))</f>
        <v>41612</v>
      </c>
      <c r="B56" t="str">
        <f>VLOOKUP(5,KLnord,3,FALSE)</f>
        <v>Mi</v>
      </c>
      <c r="C56" s="19">
        <f>VLOOKUP(5,KLnord,4,FALSE)</f>
        <v>0.84375</v>
      </c>
      <c r="D56" t="str">
        <f>VLOOKUP(5,KLnord,2,FALSE)</f>
        <v>TTC Schmelz</v>
      </c>
      <c r="E56" s="18" t="s">
        <v>35</v>
      </c>
      <c r="F56" t="str">
        <f>VLOOKUP(4,KLnord,2,FALSE)</f>
        <v>TTC Limbach e.V.</v>
      </c>
      <c r="G56" s="17">
        <f>IF(H56="Mo",Spieltage!$F$48,IF(H56="Di",Spieltage!$F$49,IF(H56="Mi",Spieltage!$F$50,IF(H56="Do",Spieltage!$F$51,IF(H56="Fr",Spieltage!$F$52,"")))))</f>
        <v>41733</v>
      </c>
      <c r="H56" t="str">
        <f>VLOOKUP(4,KLnord,3,FALSE)</f>
        <v>Fr</v>
      </c>
      <c r="I56" s="19">
        <f>VLOOKUP(4,KLnord,4,FALSE)</f>
        <v>0.8125</v>
      </c>
    </row>
    <row r="57" spans="1:9" ht="12.75">
      <c r="A57" s="17">
        <f>IF(B57="Mo",Spieltage!$B$48,IF(B57="Di",Spieltage!$B$49,IF(B57="Mi",Spieltage!$B$50,IF(B57="Do",Spieltage!$B$51,IF(B57="Fr",Spieltage!$B$52,"")))))</f>
        <v>41613</v>
      </c>
      <c r="B57" t="str">
        <f>VLOOKUP(6,KLnord,3,FALSE)</f>
        <v>Do</v>
      </c>
      <c r="C57" s="19">
        <f>VLOOKUP(6,KLnord,4,FALSE)</f>
        <v>0.8125</v>
      </c>
      <c r="D57" t="str">
        <f>VLOOKUP(6,KLnord,2,FALSE)</f>
        <v>TTG Wustweiler-Uchtelfangen </v>
      </c>
      <c r="E57" s="18" t="s">
        <v>35</v>
      </c>
      <c r="F57" t="str">
        <f>VLOOKUP(3,KLnord,2,FALSE)</f>
        <v>TTC Urexweiler </v>
      </c>
      <c r="G57" s="17">
        <f>IF(H57="Mo",Spieltage!$F$48,IF(H57="Di",Spieltage!$F$49,IF(H57="Mi",Spieltage!$F$50,IF(H57="Do",Spieltage!$F$51,IF(H57="Fr",Spieltage!$F$52,"")))))</f>
        <v>41733</v>
      </c>
      <c r="H57" t="str">
        <f>VLOOKUP(3,KLnord,3,FALSE)</f>
        <v>Fr</v>
      </c>
      <c r="I57" s="19">
        <f>VLOOKUP(3,KLnord,4,FALSE)</f>
        <v>0.8333333333333334</v>
      </c>
    </row>
    <row r="58" spans="1:9" ht="12.75">
      <c r="A58" s="17">
        <f>IF(B58="Mo",Spieltage!$B$48,IF(B58="Di",Spieltage!$B$49,IF(B58="Mi",Spieltage!$B$50,IF(B58="Do",Spieltage!$B$51,IF(B58="Fr",Spieltage!$B$52,"")))))</f>
        <v>41613</v>
      </c>
      <c r="B58" t="str">
        <f>VLOOKUP(7,KLnord,3,FALSE)</f>
        <v>Do</v>
      </c>
      <c r="C58" s="19">
        <f>VLOOKUP(7,KLnord,4,FALSE)</f>
        <v>0.8125</v>
      </c>
      <c r="D58" t="str">
        <f>VLOOKUP(7,KLnord,2,FALSE)</f>
        <v>TTV Berschweiler </v>
      </c>
      <c r="E58" s="18" t="s">
        <v>35</v>
      </c>
      <c r="F58" t="str">
        <f>VLOOKUP(2,KLnord,2,FALSE)</f>
        <v>SG TTV Niederlinxweiler/ DJK TT Ottweiler</v>
      </c>
      <c r="G58" s="17">
        <f>IF(H58="Mo",Spieltage!$F$48,IF(H58="Di",Spieltage!$F$49,IF(H58="Mi",Spieltage!$F$50,IF(H58="Do",Spieltage!$F$51,IF(H58="Fr",Spieltage!$F$52,"")))))</f>
        <v>41729</v>
      </c>
      <c r="H58" t="str">
        <f>VLOOKUP(2,KLnord,3,FALSE)</f>
        <v>Mo</v>
      </c>
      <c r="I58" s="19">
        <f>VLOOKUP(2,KLnord,4,FALSE)</f>
        <v>0.8125</v>
      </c>
    </row>
    <row r="59" spans="1:9" ht="12.75">
      <c r="A59" s="17">
        <f>IF(B59="Mo",Spieltage!$B$48,IF(B59="Di",Spieltage!$B$49,IF(B59="Mi",Spieltage!$B$50,IF(B59="Do",Spieltage!$B$51,IF(B59="Fr",Spieltage!$B$52,"")))))</f>
        <v>41612</v>
      </c>
      <c r="B59" t="str">
        <f>VLOOKUP(8,KLnord,3,FALSE)</f>
        <v>Mi</v>
      </c>
      <c r="C59" s="19">
        <f>VLOOKUP(8,KLnord,4,FALSE)</f>
        <v>0.8125</v>
      </c>
      <c r="D59" t="str">
        <f>VLOOKUP(8,KLnord,2,FALSE)</f>
        <v>SV Remmesweiler</v>
      </c>
      <c r="E59" s="18" t="s">
        <v>35</v>
      </c>
      <c r="F59" t="str">
        <f>VLOOKUP(1,KLnord,2,FALSE)</f>
        <v>TTC Kerpen Illingen</v>
      </c>
      <c r="G59" s="17">
        <f>IF(H59="Mo",Spieltage!$F$48,IF(H59="Di",Spieltage!$F$49,IF(H59="Mi",Spieltage!$F$50,IF(H59="Do",Spieltage!$F$51,IF(H59="Fr",Spieltage!$F$52,"")))))</f>
        <v>41729</v>
      </c>
      <c r="H59" t="str">
        <f>VLOOKUP(1,KLnord,3,FALSE)</f>
        <v>Mo</v>
      </c>
      <c r="I59" s="19">
        <f>VLOOKUP(1,KLnord,4,FALSE)</f>
        <v>0.8125</v>
      </c>
    </row>
    <row r="60" spans="1:9" ht="12.75">
      <c r="A60" s="17">
        <f>IF(B60="Mo",Spieltage!$B$48,IF(B60="Di",Spieltage!$B$49,IF(B60="Mi",Spieltage!$B$50,IF(B60="Do",Spieltage!$B$51,IF(B60="Fr",Spieltage!$B$52,"")))))</f>
      </c>
      <c r="B60" t="str">
        <f>VLOOKUP(10,KLnord,3,FALSE)</f>
        <v> </v>
      </c>
      <c r="C60" s="19" t="str">
        <f>VLOOKUP(10,KLnord,4,FALSE)</f>
        <v> </v>
      </c>
      <c r="D60" t="str">
        <f>VLOOKUP(10,KLnord,2,FALSE)</f>
        <v>spielfrei</v>
      </c>
      <c r="E60" s="18" t="s">
        <v>35</v>
      </c>
      <c r="F60" t="str">
        <f>VLOOKUP(9,KLnord,2,FALSE)</f>
        <v>TTC Wemmetsweiler</v>
      </c>
      <c r="G60" s="17">
        <f>IF(H60="Mo",Spieltage!$F$48,IF(H60="Di",Spieltage!$F$49,IF(H60="Mi",Spieltage!$F$50,IF(H60="Do",Spieltage!$F$51,IF(H60="Fr",Spieltage!$F$52,"")))))</f>
        <v>41733</v>
      </c>
      <c r="H60" t="str">
        <f>VLOOKUP(9,KLnord,3,FALSE)</f>
        <v>Fr</v>
      </c>
      <c r="I60" s="19">
        <f>VLOOKUP(9,KLnord,4,FALSE)</f>
        <v>0.7916666666666666</v>
      </c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D2" sqref="D2"/>
    </sheetView>
  </sheetViews>
  <sheetFormatPr defaultColWidth="11.421875" defaultRowHeight="12.75"/>
  <cols>
    <col min="1" max="1" width="10.28125" style="0" customWidth="1"/>
    <col min="2" max="2" width="3.7109375" style="0" customWidth="1"/>
    <col min="3" max="3" width="5.7109375" style="0" customWidth="1"/>
    <col min="4" max="4" width="21.7109375" style="0" customWidth="1"/>
    <col min="5" max="5" width="1.7109375" style="0" customWidth="1"/>
    <col min="6" max="6" width="21.7109375" style="0" customWidth="1"/>
    <col min="7" max="7" width="10.28125" style="0" customWidth="1"/>
    <col min="8" max="8" width="3.7109375" style="0" customWidth="1"/>
    <col min="9" max="9" width="5.7109375" style="0" customWidth="1"/>
  </cols>
  <sheetData>
    <row r="1" spans="1:9" ht="12.75">
      <c r="A1" s="1" t="s">
        <v>31</v>
      </c>
      <c r="I1" s="20" t="s">
        <v>32</v>
      </c>
    </row>
    <row r="2" ht="15.75">
      <c r="D2" s="4" t="s">
        <v>39</v>
      </c>
    </row>
    <row r="4" spans="1:4" ht="15.75">
      <c r="A4" s="4" t="s">
        <v>33</v>
      </c>
      <c r="D4" s="1" t="str">
        <f>Spieltage!A3&amp;" "&amp;Spieltage!B3</f>
        <v>Saison 2013/2014</v>
      </c>
    </row>
    <row r="6" spans="1:7" ht="12.75">
      <c r="A6" s="1" t="s">
        <v>28</v>
      </c>
      <c r="G6" s="1" t="s">
        <v>30</v>
      </c>
    </row>
    <row r="8" spans="1:9" ht="12.75">
      <c r="A8" s="17">
        <f>IF(B8="Mo",Spieltage!$B$8,IF(B8="Di",Spieltage!$B$9,IF(B8="Mi",Spieltage!$B$10,IF(B8="Do",Spieltage!$B$11,IF(B8="Fr",Spieltage!$B$12,"")))))</f>
        <v>41530</v>
      </c>
      <c r="B8" t="str">
        <f>VLOOKUP(1,KKno,3,FALSE)</f>
        <v>Fr</v>
      </c>
      <c r="C8" s="19">
        <f>VLOOKUP(1,KKno,4,FALSE)</f>
        <v>0.8125</v>
      </c>
      <c r="D8" t="str">
        <f>VLOOKUP(1,KKno,2,FALSE)</f>
        <v>TTF Eppelborn 2</v>
      </c>
      <c r="E8" s="18" t="s">
        <v>35</v>
      </c>
      <c r="F8" t="str">
        <f>VLOOKUP(9,KKno,2,FALSE)</f>
        <v>spielfrei</v>
      </c>
      <c r="G8" s="17">
        <f>IF(H8="Mo",Spieltage!$F$8,IF(H8="Di",Spieltage!$F$9,IF(H8="Mi",Spieltage!$F$10,IF(H8="Do",Spieltage!$F$11,IF(H8="Fr",Spieltage!$F$12,"")))))</f>
      </c>
      <c r="H8" t="str">
        <f>VLOOKUP(9,KKno,3,FALSE)</f>
        <v> </v>
      </c>
      <c r="I8" s="19" t="str">
        <f>VLOOKUP(9,KKno,4,FALSE)</f>
        <v> </v>
      </c>
    </row>
    <row r="9" spans="1:9" ht="12.75">
      <c r="A9" s="17">
        <f>IF(B9="Mo",Spieltage!$B$8,IF(B9="Di",Spieltage!$B$9,IF(B9="Mi",Spieltage!$B$10,IF(B9="Do",Spieltage!$B$11,IF(B9="Fr",Spieltage!$B$12,"")))))</f>
        <v>41529</v>
      </c>
      <c r="B9" t="str">
        <f>VLOOKUP(2,KKno,3,FALSE)</f>
        <v>Do</v>
      </c>
      <c r="C9" s="19">
        <f>VLOOKUP(2,KKno,4,FALSE)</f>
        <v>0.8125</v>
      </c>
      <c r="D9" t="str">
        <f>VLOOKUP(2,KKno,2,FALSE)</f>
        <v>TTF Tholey</v>
      </c>
      <c r="E9" s="18" t="s">
        <v>35</v>
      </c>
      <c r="F9" t="str">
        <f>VLOOKUP(8,KKno,2,FALSE)</f>
        <v>spielfrei</v>
      </c>
      <c r="G9" s="17">
        <f>IF(H9="Mo",Spieltage!$F$8,IF(H9="Di",Spieltage!$F$9,IF(H9="Mi",Spieltage!$F$10,IF(H9="Do",Spieltage!$F$11,IF(H9="Fr",Spieltage!$F$12,"")))))</f>
      </c>
      <c r="H9" t="str">
        <f>VLOOKUP(8,KKno,3,FALSE)</f>
        <v> </v>
      </c>
      <c r="I9" s="19" t="str">
        <f>VLOOKUP(8,KKno,4,FALSE)</f>
        <v> </v>
      </c>
    </row>
    <row r="10" spans="1:9" ht="12.75">
      <c r="A10" s="17">
        <f>IF(B10="Mo",Spieltage!$B$8,IF(B10="Di",Spieltage!$B$9,IF(B10="Mi",Spieltage!$B$10,IF(B10="Do",Spieltage!$B$11,IF(B10="Fr",Spieltage!$B$12,"")))))</f>
        <v>41529</v>
      </c>
      <c r="B10" t="str">
        <f>VLOOKUP(3,KKno,3,FALSE)</f>
        <v>Do</v>
      </c>
      <c r="C10" s="19">
        <f>VLOOKUP(3,KKno,4,FALSE)</f>
        <v>0.8125</v>
      </c>
      <c r="D10" t="str">
        <f>VLOOKUP(3,KKno,2,FALSE)</f>
        <v>TTG Holz-Wahlschied 2</v>
      </c>
      <c r="E10" s="18" t="s">
        <v>35</v>
      </c>
      <c r="F10" t="str">
        <f>VLOOKUP(7,KKno,2,FALSE)</f>
        <v>TTC Dörsdorf 2</v>
      </c>
      <c r="G10" s="17">
        <f>IF(H10="Mo",Spieltage!$F$8,IF(H10="Di",Spieltage!$F$9,IF(H10="Mi",Spieltage!$F$10,IF(H10="Do",Spieltage!$F$11,IF(H10="Fr",Spieltage!$F$12,"")))))</f>
        <v>41649</v>
      </c>
      <c r="H10" t="str">
        <f>VLOOKUP(7,KKno,3,FALSE)</f>
        <v>Fr</v>
      </c>
      <c r="I10" s="19">
        <f>VLOOKUP(7,KKno,4,FALSE)</f>
        <v>0.8333333333333334</v>
      </c>
    </row>
    <row r="11" spans="1:9" ht="12.75">
      <c r="A11" s="17">
        <f>IF(B11="Mo",Spieltage!$B$8,IF(B11="Di",Spieltage!$B$9,IF(B11="Mi",Spieltage!$B$10,IF(B11="Do",Spieltage!$B$11,IF(B11="Fr",Spieltage!$B$12,"")))))</f>
        <v>41527</v>
      </c>
      <c r="B11" t="str">
        <f>VLOOKUP(4,KKno,3,FALSE)</f>
        <v>Di</v>
      </c>
      <c r="C11" s="19">
        <f>VLOOKUP(4,KKno,4,FALSE)</f>
        <v>0.7916666666666666</v>
      </c>
      <c r="D11" t="str">
        <f>VLOOKUP(4,KKno,2,FALSE)</f>
        <v>DJK Bildstock 2</v>
      </c>
      <c r="E11" s="18" t="s">
        <v>35</v>
      </c>
      <c r="F11" t="str">
        <f>VLOOKUP(6,KKno,2,FALSE)</f>
        <v>TTG Bexbach</v>
      </c>
      <c r="G11" s="17">
        <f>IF(H11="Mo",Spieltage!$F$8,IF(H11="Di",Spieltage!$F$9,IF(H11="Mi",Spieltage!$F$10,IF(H11="Do",Spieltage!$F$11,IF(H11="Fr",Spieltage!$F$12,"")))))</f>
        <v>41645</v>
      </c>
      <c r="H11" t="str">
        <f>VLOOKUP(6,KKno,3,FALSE)</f>
        <v>Mo</v>
      </c>
      <c r="I11" s="19">
        <f>VLOOKUP(6,KKno,4,FALSE)</f>
        <v>0.8125</v>
      </c>
    </row>
    <row r="12" spans="1:9" ht="12.75">
      <c r="A12" s="17">
        <f>IF(B12="Mo",Spieltage!$B$8,IF(B12="Di",Spieltage!$B$9,IF(B12="Mi",Spieltage!$B$10,IF(B12="Do",Spieltage!$B$11,IF(B12="Fr",Spieltage!$B$12,"")))))</f>
      </c>
      <c r="B12" t="str">
        <f>VLOOKUP(10,KKno,3,FALSE)</f>
        <v> </v>
      </c>
      <c r="C12" s="19" t="str">
        <f>VLOOKUP(10,KKno,4,FALSE)</f>
        <v> </v>
      </c>
      <c r="D12" t="str">
        <f>VLOOKUP(10,KKno,2,FALSE)</f>
        <v>spielfrei</v>
      </c>
      <c r="E12" s="18" t="s">
        <v>35</v>
      </c>
      <c r="F12" t="str">
        <f>VLOOKUP(5,KKno,2,FALSE)</f>
        <v>TTV Hasborn 2</v>
      </c>
      <c r="G12" s="17">
        <f>IF(H12="Mo",Spieltage!$F$8,IF(H12="Di",Spieltage!$F$9,IF(H12="Mi",Spieltage!$F$10,IF(H12="Do",Spieltage!$F$11,IF(H12="Fr",Spieltage!$F$12,"")))))</f>
        <v>41649</v>
      </c>
      <c r="H12" t="str">
        <f>VLOOKUP(5,KKno,3,FALSE)</f>
        <v>Fr</v>
      </c>
      <c r="I12" s="19">
        <f>VLOOKUP(5,KKno,4,FALSE)</f>
        <v>0.7916666666666666</v>
      </c>
    </row>
    <row r="13" ht="12.75">
      <c r="E13" s="18"/>
    </row>
    <row r="14" spans="1:9" ht="12.75">
      <c r="A14" s="17">
        <f>IF(B14="Mo",Spieltage!$B$13,IF(B14="Di",Spieltage!$B$14,IF(B14="Mi",Spieltage!$B$15,IF(B14="Do",Spieltage!$B$16,IF(B14="Fr",Spieltage!$B$17,"")))))</f>
        <v>41537</v>
      </c>
      <c r="B14" t="str">
        <f>VLOOKUP(1,KKno,3,FALSE)</f>
        <v>Fr</v>
      </c>
      <c r="C14" s="19">
        <f>VLOOKUP(1,KKno,4,FALSE)</f>
        <v>0.8125</v>
      </c>
      <c r="D14" t="str">
        <f>VLOOKUP(1,KKno,2,FALSE)</f>
        <v>TTF Eppelborn 2</v>
      </c>
      <c r="E14" s="18" t="s">
        <v>35</v>
      </c>
      <c r="F14" t="str">
        <f>VLOOKUP(3,KKno,2,FALSE)</f>
        <v>TTG Holz-Wahlschied 2</v>
      </c>
      <c r="G14" s="17">
        <f>IF(H14="Mo",Spieltage!$F$13,IF(H14="Di",Spieltage!$F$14,IF(H14="Mi",Spieltage!$F$15,IF(H14="Do",Spieltage!$F$16,IF(H14="Fr",Spieltage!$F$17,"")))))</f>
        <v>41662</v>
      </c>
      <c r="H14" t="str">
        <f>VLOOKUP(3,KKno,3,FALSE)</f>
        <v>Do</v>
      </c>
      <c r="I14" s="19">
        <f>VLOOKUP(3,KKno,4,FALSE)</f>
        <v>0.8125</v>
      </c>
    </row>
    <row r="15" spans="1:9" ht="12.75">
      <c r="A15" s="17">
        <f>IF(B15="Mo",Spieltage!$B$13,IF(B15="Di",Spieltage!$B$14,IF(B15="Mi",Spieltage!$B$15,IF(B15="Do",Spieltage!$B$16,IF(B15="Fr",Spieltage!$B$17,"")))))</f>
        <v>41533</v>
      </c>
      <c r="B15" t="str">
        <f>VLOOKUP(6,KKno,3,FALSE)</f>
        <v>Mo</v>
      </c>
      <c r="C15" s="19">
        <f>VLOOKUP(6,KKno,4,FALSE)</f>
        <v>0.8125</v>
      </c>
      <c r="D15" t="str">
        <f>VLOOKUP(6,KKno,2,FALSE)</f>
        <v>TTG Bexbach</v>
      </c>
      <c r="E15" s="18" t="s">
        <v>35</v>
      </c>
      <c r="F15" t="str">
        <f>VLOOKUP(10,KKno,2,FALSE)</f>
        <v>spielfrei</v>
      </c>
      <c r="G15" s="17">
        <f>IF(H15="Mo",Spieltage!$F$13,IF(H15="Di",Spieltage!$F$14,IF(H15="Mi",Spieltage!$F$15,IF(H15="Do",Spieltage!$F$16,IF(H15="Fr",Spieltage!$F$17,"")))))</f>
      </c>
      <c r="H15" t="str">
        <f>VLOOKUP(10,KKno,3,FALSE)</f>
        <v> </v>
      </c>
      <c r="I15" s="19" t="str">
        <f>VLOOKUP(10,KKno,4,FALSE)</f>
        <v> </v>
      </c>
    </row>
    <row r="16" spans="1:9" ht="12.75">
      <c r="A16" s="17">
        <f>IF(B16="Mo",Spieltage!$B$13,IF(B16="Di",Spieltage!$B$14,IF(B16="Mi",Spieltage!$B$15,IF(B16="Do",Spieltage!$B$16,IF(B16="Fr",Spieltage!$B$17,"")))))</f>
        <v>41537</v>
      </c>
      <c r="B16" t="str">
        <f>VLOOKUP(7,KKno,3,FALSE)</f>
        <v>Fr</v>
      </c>
      <c r="C16" s="19">
        <f>VLOOKUP(7,KKno,4,FALSE)</f>
        <v>0.8333333333333334</v>
      </c>
      <c r="D16" t="str">
        <f>VLOOKUP(7,KKno,2,FALSE)</f>
        <v>TTC Dörsdorf 2</v>
      </c>
      <c r="E16" s="18" t="s">
        <v>35</v>
      </c>
      <c r="F16" t="str">
        <f>VLOOKUP(4,KKno,2,FALSE)</f>
        <v>DJK Bildstock 2</v>
      </c>
      <c r="G16" s="17">
        <f>IF(H16="Mo",Spieltage!$F$13,IF(H16="Di",Spieltage!$F$14,IF(H16="Mi",Spieltage!$F$15,IF(H16="Do",Spieltage!$F$16,IF(H16="Fr",Spieltage!$F$17,"")))))</f>
        <v>41660</v>
      </c>
      <c r="H16" t="str">
        <f>VLOOKUP(4,KKno,3,FALSE)</f>
        <v>Di</v>
      </c>
      <c r="I16" s="19">
        <f>VLOOKUP(4,KKno,4,FALSE)</f>
        <v>0.7916666666666666</v>
      </c>
    </row>
    <row r="17" spans="1:9" ht="12.75">
      <c r="A17" s="17">
        <f>IF(B17="Mo",Spieltage!$B$13,IF(B17="Di",Spieltage!$B$14,IF(B17="Mi",Spieltage!$B$15,IF(B17="Do",Spieltage!$B$16,IF(B17="Fr",Spieltage!$B$17,"")))))</f>
      </c>
      <c r="B17" t="str">
        <f>VLOOKUP(8,KKno,3,FALSE)</f>
        <v> </v>
      </c>
      <c r="C17" s="19" t="str">
        <f>VLOOKUP(8,KKno,4,FALSE)</f>
        <v> </v>
      </c>
      <c r="D17" t="str">
        <f>VLOOKUP(8,KKno,2,FALSE)</f>
        <v>spielfrei</v>
      </c>
      <c r="E17" s="18" t="s">
        <v>35</v>
      </c>
      <c r="F17" t="str">
        <f>VLOOKUP(5,KKno,2,FALSE)</f>
        <v>TTV Hasborn 2</v>
      </c>
      <c r="G17" s="17">
        <f>IF(H17="Mo",Spieltage!$F$13,IF(H17="Di",Spieltage!$F$14,IF(H17="Mi",Spieltage!$F$15,IF(H17="Do",Spieltage!$F$16,IF(H17="Fr",Spieltage!$F$17,"")))))</f>
        <v>41663</v>
      </c>
      <c r="H17" t="str">
        <f>VLOOKUP(5,KKno,3,FALSE)</f>
        <v>Fr</v>
      </c>
      <c r="I17" s="19">
        <f>VLOOKUP(5,KKno,4,FALSE)</f>
        <v>0.7916666666666666</v>
      </c>
    </row>
    <row r="18" spans="1:9" ht="12.75">
      <c r="A18" s="17">
        <f>IF(B18="Mo",Spieltage!$B$13,IF(B18="Di",Spieltage!$B$14,IF(B18="Mi",Spieltage!$B$15,IF(B18="Do",Spieltage!$B$16,IF(B18="Fr",Spieltage!$B$17,"")))))</f>
      </c>
      <c r="B18" t="str">
        <f>VLOOKUP(9,KKno,3,FALSE)</f>
        <v> </v>
      </c>
      <c r="C18" s="19" t="str">
        <f>VLOOKUP(9,KKno,4,FALSE)</f>
        <v> </v>
      </c>
      <c r="D18" t="str">
        <f>VLOOKUP(9,KKno,2,FALSE)</f>
        <v>spielfrei</v>
      </c>
      <c r="E18" s="18" t="s">
        <v>35</v>
      </c>
      <c r="F18" t="str">
        <f>VLOOKUP(2,KKno,2,FALSE)</f>
        <v>TTF Tholey</v>
      </c>
      <c r="G18" s="17">
        <f>IF(H18="Mo",Spieltage!$F$13,IF(H18="Di",Spieltage!$F$14,IF(H18="Mi",Spieltage!$F$15,IF(H18="Do",Spieltage!$F$16,IF(H18="Fr",Spieltage!$F$17,"")))))</f>
        <v>41662</v>
      </c>
      <c r="H18" t="str">
        <f>VLOOKUP(2,KKno,3,FALSE)</f>
        <v>Do</v>
      </c>
      <c r="I18" s="19">
        <f>VLOOKUP(2,KKno,4,FALSE)</f>
        <v>0.8125</v>
      </c>
    </row>
    <row r="20" spans="1:9" ht="12.75">
      <c r="A20" s="17">
        <f>IF(B20="Mo",Spieltage!$B$18,IF(B20="Di",Spieltage!$B$19,IF(B20="Mi",Spieltage!$B$20,IF(B20="Do",Spieltage!$B$21,IF(B20="Fr",Spieltage!$B$22,"")))))</f>
        <v>41543</v>
      </c>
      <c r="B20" t="str">
        <f>VLOOKUP(2,KKno,3,FALSE)</f>
        <v>Do</v>
      </c>
      <c r="C20" s="19">
        <f>VLOOKUP(2,KKno,4,FALSE)</f>
        <v>0.8125</v>
      </c>
      <c r="D20" t="str">
        <f>VLOOKUP(2,KKno,2,FALSE)</f>
        <v>TTF Tholey</v>
      </c>
      <c r="E20" s="18" t="s">
        <v>35</v>
      </c>
      <c r="F20" t="str">
        <f>VLOOKUP(1,KKno,2,FALSE)</f>
        <v>TTF Eppelborn 2</v>
      </c>
      <c r="G20" s="17">
        <f>IF(H20="Mo",Spieltage!$F$18,IF(H20="Di",Spieltage!$F$19,IF(H20="Mi",Spieltage!$F$20,IF(H20="Do",Spieltage!$F$21,IF(H20="Fr",Spieltage!$F$22,"")))))</f>
        <v>41670</v>
      </c>
      <c r="H20" t="str">
        <f>VLOOKUP(1,KKno,3,FALSE)</f>
        <v>Fr</v>
      </c>
      <c r="I20" s="19">
        <f>VLOOKUP(1,KKno,4,FALSE)</f>
        <v>0.8125</v>
      </c>
    </row>
    <row r="21" spans="1:9" ht="12.75">
      <c r="A21" s="17">
        <f>IF(B21="Mo",Spieltage!$B$18,IF(B21="Di",Spieltage!$B$19,IF(B21="Mi",Spieltage!$B$20,IF(B21="Do",Spieltage!$B$21,IF(B21="Fr",Spieltage!$B$22,"")))))</f>
        <v>41543</v>
      </c>
      <c r="B21" t="str">
        <f>VLOOKUP(3,KKno,3,FALSE)</f>
        <v>Do</v>
      </c>
      <c r="C21" s="19">
        <f>VLOOKUP(3,KKno,4,FALSE)</f>
        <v>0.8125</v>
      </c>
      <c r="D21" t="str">
        <f>VLOOKUP(3,KKno,2,FALSE)</f>
        <v>TTG Holz-Wahlschied 2</v>
      </c>
      <c r="E21" s="18" t="s">
        <v>35</v>
      </c>
      <c r="F21" t="str">
        <f>VLOOKUP(9,KKno,2,FALSE)</f>
        <v>spielfrei</v>
      </c>
      <c r="G21" s="17">
        <f>IF(H21="Mo",Spieltage!$F$18,IF(H21="Di",Spieltage!$F$19,IF(H21="Mi",Spieltage!$F$20,IF(H21="Do",Spieltage!$F$21,IF(H21="Fr",Spieltage!$F$22,"")))))</f>
      </c>
      <c r="H21" t="str">
        <f>VLOOKUP(9,KKno,3,FALSE)</f>
        <v> </v>
      </c>
      <c r="I21" s="19" t="str">
        <f>VLOOKUP(9,KKno,4,FALSE)</f>
        <v> </v>
      </c>
    </row>
    <row r="22" spans="1:9" ht="12.75">
      <c r="A22" s="17">
        <f>IF(B22="Mo",Spieltage!$B$18,IF(B22="Di",Spieltage!$B$19,IF(B22="Mi",Spieltage!$B$20,IF(B22="Do",Spieltage!$B$21,IF(B22="Fr",Spieltage!$B$22,"")))))</f>
        <v>41541</v>
      </c>
      <c r="B22" t="str">
        <f>VLOOKUP(4,KKno,3,FALSE)</f>
        <v>Di</v>
      </c>
      <c r="C22" s="19">
        <f>VLOOKUP(4,KKno,4,FALSE)</f>
        <v>0.7916666666666666</v>
      </c>
      <c r="D22" t="str">
        <f>VLOOKUP(4,KKno,2,FALSE)</f>
        <v>DJK Bildstock 2</v>
      </c>
      <c r="E22" s="18" t="s">
        <v>35</v>
      </c>
      <c r="F22" t="str">
        <f>VLOOKUP(8,KKno,2,FALSE)</f>
        <v>spielfrei</v>
      </c>
      <c r="G22" s="17">
        <f>IF(H22="Mo",Spieltage!$F$18,IF(H22="Di",Spieltage!$F$19,IF(H22="Mi",Spieltage!$F$20,IF(H22="Do",Spieltage!$F$21,IF(H22="Fr",Spieltage!$F$22,"")))))</f>
      </c>
      <c r="H22" t="str">
        <f>VLOOKUP(8,KKno,3,FALSE)</f>
        <v> </v>
      </c>
      <c r="I22" s="19" t="str">
        <f>VLOOKUP(8,KKno,4,FALSE)</f>
        <v> </v>
      </c>
    </row>
    <row r="23" spans="1:9" ht="12.75">
      <c r="A23" s="17">
        <f>IF(B23="Mo",Spieltage!$B$18,IF(B23="Di",Spieltage!$B$19,IF(B23="Mi",Spieltage!$B$20,IF(B23="Do",Spieltage!$B$21,IF(B23="Fr",Spieltage!$B$22,"")))))</f>
        <v>41544</v>
      </c>
      <c r="B23" t="str">
        <f>VLOOKUP(5,KKno,3,FALSE)</f>
        <v>Fr</v>
      </c>
      <c r="C23" s="19">
        <f>VLOOKUP(5,KKno,4,FALSE)</f>
        <v>0.7916666666666666</v>
      </c>
      <c r="D23" t="str">
        <f>VLOOKUP(5,KKno,2,FALSE)</f>
        <v>TTV Hasborn 2</v>
      </c>
      <c r="E23" s="18" t="s">
        <v>35</v>
      </c>
      <c r="F23" t="str">
        <f>VLOOKUP(6,KKno,2,FALSE)</f>
        <v>TTG Bexbach</v>
      </c>
      <c r="G23" s="17">
        <f>IF(H23="Mo",Spieltage!$F$18,IF(H23="Di",Spieltage!$F$19,IF(H23="Mi",Spieltage!$F$20,IF(H23="Do",Spieltage!$F$21,IF(H23="Fr",Spieltage!$F$22,"")))))</f>
        <v>41666</v>
      </c>
      <c r="H23" t="str">
        <f>VLOOKUP(6,KKno,3,FALSE)</f>
        <v>Mo</v>
      </c>
      <c r="I23" s="19">
        <f>VLOOKUP(6,KKno,4,FALSE)</f>
        <v>0.8125</v>
      </c>
    </row>
    <row r="24" spans="1:9" ht="12.75">
      <c r="A24" s="17">
        <f>IF(B24="Mo",Spieltage!$B$18,IF(B24="Di",Spieltage!$B$19,IF(B24="Mi",Spieltage!$B$20,IF(B24="Do",Spieltage!$B$21,IF(B24="Fr",Spieltage!$B$22,"")))))</f>
      </c>
      <c r="B24" t="str">
        <f>VLOOKUP(10,KKno,3,FALSE)</f>
        <v> </v>
      </c>
      <c r="C24" s="19" t="str">
        <f>VLOOKUP(10,KKno,4,FALSE)</f>
        <v> </v>
      </c>
      <c r="D24" t="str">
        <f>VLOOKUP(10,KKno,2,FALSE)</f>
        <v>spielfrei</v>
      </c>
      <c r="E24" s="18" t="s">
        <v>35</v>
      </c>
      <c r="F24" t="str">
        <f>VLOOKUP(7,KKno,2,FALSE)</f>
        <v>TTC Dörsdorf 2</v>
      </c>
      <c r="G24" s="17">
        <f>IF(H24="Mo",Spieltage!$F$18,IF(H24="Di",Spieltage!$F$19,IF(H24="Mi",Spieltage!$F$20,IF(H24="Do",Spieltage!$F$21,IF(H24="Fr",Spieltage!$F$22,"")))))</f>
        <v>41670</v>
      </c>
      <c r="H24" t="str">
        <f>VLOOKUP(7,KKno,3,FALSE)</f>
        <v>Fr</v>
      </c>
      <c r="I24" s="19">
        <f>VLOOKUP(7,KKno,4,FALSE)</f>
        <v>0.8333333333333334</v>
      </c>
    </row>
    <row r="26" spans="1:9" ht="12.75">
      <c r="A26" s="17">
        <f>IF(B26="Mo",Spieltage!$B$23,IF(B26="Di",Spieltage!$B$24,IF(B26="Mi",Spieltage!$B$25,IF(B26="Do",Spieltage!$B$26,IF(B26="Fr",Spieltage!$B$27,"")))))</f>
        <v>41558</v>
      </c>
      <c r="B26" t="str">
        <f>VLOOKUP(1,KKno,3,FALSE)</f>
        <v>Fr</v>
      </c>
      <c r="C26" s="19">
        <f>VLOOKUP(1,KKno,4,FALSE)</f>
        <v>0.8125</v>
      </c>
      <c r="D26" t="str">
        <f>VLOOKUP(1,KKno,2,FALSE)</f>
        <v>TTF Eppelborn 2</v>
      </c>
      <c r="E26" s="18" t="s">
        <v>35</v>
      </c>
      <c r="F26" t="str">
        <f>VLOOKUP(6,KKno,2,FALSE)</f>
        <v>TTG Bexbach</v>
      </c>
      <c r="G26" s="17">
        <f>IF(H26="Mo",Spieltage!$F$23,IF(H26="Di",Spieltage!$F$24,IF(H26="Mi",Spieltage!$F$25,IF(H26="Do",Spieltage!$F$26,IF(H26="Fr",Spieltage!$F$27,"")))))</f>
        <v>41673</v>
      </c>
      <c r="H26" t="str">
        <f>VLOOKUP(6,KKno,3,FALSE)</f>
        <v>Mo</v>
      </c>
      <c r="I26" s="19">
        <f>VLOOKUP(6,KKno,4,FALSE)</f>
        <v>0.8125</v>
      </c>
    </row>
    <row r="27" spans="1:9" ht="12.75">
      <c r="A27" s="17">
        <f>IF(B27="Mo",Spieltage!$B$23,IF(B27="Di",Spieltage!$B$24,IF(B27="Mi",Spieltage!$B$25,IF(B27="Do",Spieltage!$B$26,IF(B27="Fr",Spieltage!$B$27,"")))))</f>
        <v>41557</v>
      </c>
      <c r="B27" t="str">
        <f>VLOOKUP(2,KKno,3,FALSE)</f>
        <v>Do</v>
      </c>
      <c r="C27" s="19">
        <f>VLOOKUP(2,KKno,4,FALSE)</f>
        <v>0.8125</v>
      </c>
      <c r="D27" t="str">
        <f>VLOOKUP(2,KKno,2,FALSE)</f>
        <v>TTF Tholey</v>
      </c>
      <c r="E27" s="18" t="s">
        <v>35</v>
      </c>
      <c r="F27" t="str">
        <f>VLOOKUP(3,KKno,2,FALSE)</f>
        <v>TTG Holz-Wahlschied 2</v>
      </c>
      <c r="G27" s="17">
        <f>IF(H27="Mo",Spieltage!$F$23,IF(H27="Di",Spieltage!$F$24,IF(H27="Mi",Spieltage!$F$25,IF(H27="Do",Spieltage!$F$26,IF(H27="Fr",Spieltage!$F$27,"")))))</f>
        <v>41676</v>
      </c>
      <c r="H27" t="str">
        <f>VLOOKUP(3,KKno,3,FALSE)</f>
        <v>Do</v>
      </c>
      <c r="I27" s="19">
        <f>VLOOKUP(3,KKno,4,FALSE)</f>
        <v>0.8125</v>
      </c>
    </row>
    <row r="28" spans="1:9" ht="12.75">
      <c r="A28" s="17">
        <f>IF(B28="Mo",Spieltage!$B$23,IF(B28="Di",Spieltage!$B$24,IF(B28="Mi",Spieltage!$B$25,IF(B28="Do",Spieltage!$B$26,IF(B28="Fr",Spieltage!$B$27,"")))))</f>
        <v>41558</v>
      </c>
      <c r="B28" t="str">
        <f>VLOOKUP(7,KKno,3,FALSE)</f>
        <v>Fr</v>
      </c>
      <c r="C28" s="19">
        <f>VLOOKUP(7,KKno,4,FALSE)</f>
        <v>0.8333333333333334</v>
      </c>
      <c r="D28" t="str">
        <f>VLOOKUP(7,KKno,2,FALSE)</f>
        <v>TTC Dörsdorf 2</v>
      </c>
      <c r="E28" s="18" t="s">
        <v>35</v>
      </c>
      <c r="F28" t="str">
        <f>VLOOKUP(5,KKno,2,FALSE)</f>
        <v>TTV Hasborn 2</v>
      </c>
      <c r="G28" s="17">
        <f>IF(H28="Mo",Spieltage!$F$23,IF(H28="Di",Spieltage!$F$24,IF(H28="Mi",Spieltage!$F$25,IF(H28="Do",Spieltage!$F$26,IF(H28="Fr",Spieltage!$F$27,"")))))</f>
        <v>41677</v>
      </c>
      <c r="H28" t="str">
        <f>VLOOKUP(5,KKno,3,FALSE)</f>
        <v>Fr</v>
      </c>
      <c r="I28" s="19">
        <f>VLOOKUP(5,KKno,4,FALSE)</f>
        <v>0.7916666666666666</v>
      </c>
    </row>
    <row r="29" spans="1:9" ht="12.75">
      <c r="A29" s="17">
        <f>IF(B29="Mo",Spieltage!$B$23,IF(B29="Di",Spieltage!$B$24,IF(B29="Mi",Spieltage!$B$25,IF(B29="Do",Spieltage!$B$26,IF(B29="Fr",Spieltage!$B$27,"")))))</f>
      </c>
      <c r="B29" t="str">
        <f>VLOOKUP(8,KKno,3,FALSE)</f>
        <v> </v>
      </c>
      <c r="C29" s="19" t="str">
        <f>VLOOKUP(8,KKno,4,FALSE)</f>
        <v> </v>
      </c>
      <c r="D29" t="str">
        <f>VLOOKUP(8,KKno,2,FALSE)</f>
        <v>spielfrei</v>
      </c>
      <c r="E29" s="18" t="s">
        <v>35</v>
      </c>
      <c r="F29" t="str">
        <f>VLOOKUP(10,KKno,2,FALSE)</f>
        <v>spielfrei</v>
      </c>
      <c r="G29" s="17">
        <f>IF(H29="Mo",Spieltage!$F$23,IF(H29="Di",Spieltage!$F$24,IF(H29="Mi",Spieltage!$F$25,IF(H29="Do",Spieltage!$F$26,IF(H29="Fr",Spieltage!$F$27,"")))))</f>
      </c>
      <c r="H29" t="str">
        <f>VLOOKUP(10,KKno,3,FALSE)</f>
        <v> </v>
      </c>
      <c r="I29" s="19" t="str">
        <f>VLOOKUP(10,KKno,4,FALSE)</f>
        <v> </v>
      </c>
    </row>
    <row r="30" spans="1:9" ht="12.75">
      <c r="A30" s="17">
        <f>IF(B30="Mo",Spieltage!$B$23,IF(B30="Di",Spieltage!$B$24,IF(B30="Mi",Spieltage!$B$25,IF(B30="Do",Spieltage!$B$26,IF(B30="Fr",Spieltage!$B$27,"")))))</f>
      </c>
      <c r="B30" t="str">
        <f>VLOOKUP(9,KKno,3,FALSE)</f>
        <v> </v>
      </c>
      <c r="C30" s="19" t="str">
        <f>VLOOKUP(9,KKno,4,FALSE)</f>
        <v> </v>
      </c>
      <c r="D30" t="str">
        <f>VLOOKUP(9,KKno,2,FALSE)</f>
        <v>spielfrei</v>
      </c>
      <c r="E30" s="18" t="s">
        <v>35</v>
      </c>
      <c r="F30" t="str">
        <f>VLOOKUP(4,KKno,2,FALSE)</f>
        <v>DJK Bildstock 2</v>
      </c>
      <c r="G30" s="17">
        <f>IF(H30="Mo",Spieltage!$F$23,IF(H30="Di",Spieltage!$F$24,IF(H30="Mi",Spieltage!$F$25,IF(H30="Do",Spieltage!$F$26,IF(H30="Fr",Spieltage!$F$27,"")))))</f>
        <v>41674</v>
      </c>
      <c r="H30" t="str">
        <f>VLOOKUP(4,KKno,3,FALSE)</f>
        <v>Di</v>
      </c>
      <c r="I30" s="19">
        <f>VLOOKUP(4,KKno,4,FALSE)</f>
        <v>0.7916666666666666</v>
      </c>
    </row>
    <row r="32" spans="1:9" ht="12.75">
      <c r="A32" s="17">
        <f>IF(B32="Mo",Spieltage!$B$28,IF(B32="Di",Spieltage!$B$29,IF(B32="Mi",Spieltage!$B$30,IF(B32="Do",Spieltage!$B$31,IF(B32="Fr",Spieltage!$B$32,"")))))</f>
        <v>41564</v>
      </c>
      <c r="B32" t="str">
        <f>VLOOKUP(3,KKno,3,FALSE)</f>
        <v>Do</v>
      </c>
      <c r="C32" s="19">
        <f>VLOOKUP(3,KKno,4,FALSE)</f>
        <v>0.8125</v>
      </c>
      <c r="D32" t="str">
        <f>VLOOKUP(3,KKno,2,FALSE)</f>
        <v>TTG Holz-Wahlschied 2</v>
      </c>
      <c r="E32" s="18" t="s">
        <v>35</v>
      </c>
      <c r="F32" t="str">
        <f>VLOOKUP(8,KKno,2,FALSE)</f>
        <v>spielfrei</v>
      </c>
      <c r="G32" s="17">
        <f>IF(H32="Mo",Spieltage!$F$28,IF(H32="Di",Spieltage!$F$29,IF(H32="Mi",Spieltage!$F$30,IF(H32="Do",Spieltage!$F$31,IF(H32="Fr",Spieltage!$F$32,"")))))</f>
      </c>
      <c r="H32" t="str">
        <f>VLOOKUP(8,KKno,3,FALSE)</f>
        <v> </v>
      </c>
      <c r="I32" s="19" t="str">
        <f>VLOOKUP(8,KKno,4,FALSE)</f>
        <v> </v>
      </c>
    </row>
    <row r="33" spans="1:9" ht="12.75">
      <c r="A33" s="17">
        <f>IF(B33="Mo",Spieltage!$B$28,IF(B33="Di",Spieltage!$B$29,IF(B33="Mi",Spieltage!$B$30,IF(B33="Do",Spieltage!$B$31,IF(B33="Fr",Spieltage!$B$32,"")))))</f>
        <v>41562</v>
      </c>
      <c r="B33" t="str">
        <f>VLOOKUP(4,KKno,3,FALSE)</f>
        <v>Di</v>
      </c>
      <c r="C33" s="19">
        <f>VLOOKUP(4,KKno,4,FALSE)</f>
        <v>0.7916666666666666</v>
      </c>
      <c r="D33" t="str">
        <f>VLOOKUP(4,KKno,2,FALSE)</f>
        <v>DJK Bildstock 2</v>
      </c>
      <c r="E33" s="18" t="s">
        <v>35</v>
      </c>
      <c r="F33" t="str">
        <f>VLOOKUP(2,KKno,2,FALSE)</f>
        <v>TTF Tholey</v>
      </c>
      <c r="G33" s="17">
        <f>IF(H33="Mo",Spieltage!$F$28,IF(H33="Di",Spieltage!$F$29,IF(H33="Mi",Spieltage!$F$30,IF(H33="Do",Spieltage!$F$31,IF(H33="Fr",Spieltage!$F$32,"")))))</f>
        <v>41683</v>
      </c>
      <c r="H33" t="str">
        <f>VLOOKUP(2,KKno,3,FALSE)</f>
        <v>Do</v>
      </c>
      <c r="I33" s="19">
        <f>VLOOKUP(2,KKno,4,FALSE)</f>
        <v>0.8125</v>
      </c>
    </row>
    <row r="34" spans="1:9" ht="12.75">
      <c r="A34" s="17">
        <f>IF(B34="Mo",Spieltage!$B$28,IF(B34="Di",Spieltage!$B$29,IF(B34="Mi",Spieltage!$B$30,IF(B34="Do",Spieltage!$B$31,IF(B34="Fr",Spieltage!$B$32,"")))))</f>
        <v>41565</v>
      </c>
      <c r="B34" t="str">
        <f>VLOOKUP(5,KKno,3,FALSE)</f>
        <v>Fr</v>
      </c>
      <c r="C34" s="19">
        <f>VLOOKUP(5,KKno,4,FALSE)</f>
        <v>0.7916666666666666</v>
      </c>
      <c r="D34" t="str">
        <f>VLOOKUP(5,KKno,2,FALSE)</f>
        <v>TTV Hasborn 2</v>
      </c>
      <c r="E34" s="18" t="s">
        <v>35</v>
      </c>
      <c r="F34" t="str">
        <f>VLOOKUP(9,KKno,2,FALSE)</f>
        <v>spielfrei</v>
      </c>
      <c r="G34" s="17">
        <f>IF(H34="Mo",Spieltage!$F$28,IF(H34="Di",Spieltage!$F$29,IF(H34="Mi",Spieltage!$F$30,IF(H34="Do",Spieltage!$F$31,IF(H34="Fr",Spieltage!$F$32,"")))))</f>
      </c>
      <c r="H34" t="str">
        <f>VLOOKUP(9,KKno,3,FALSE)</f>
        <v> </v>
      </c>
      <c r="I34" s="19" t="str">
        <f>VLOOKUP(9,KKno,4,FALSE)</f>
        <v> </v>
      </c>
    </row>
    <row r="35" spans="1:9" ht="12.75">
      <c r="A35" s="17">
        <f>IF(B35="Mo",Spieltage!$B$28,IF(B35="Di",Spieltage!$B$29,IF(B35="Mi",Spieltage!$B$30,IF(B35="Do",Spieltage!$B$31,IF(B35="Fr",Spieltage!$B$32,"")))))</f>
        <v>41561</v>
      </c>
      <c r="B35" t="str">
        <f>VLOOKUP(6,KKno,3,FALSE)</f>
        <v>Mo</v>
      </c>
      <c r="C35" s="19">
        <f>VLOOKUP(6,KKno,4,FALSE)</f>
        <v>0.8125</v>
      </c>
      <c r="D35" t="str">
        <f>VLOOKUP(6,KKno,2,FALSE)</f>
        <v>TTG Bexbach</v>
      </c>
      <c r="E35" s="18" t="s">
        <v>35</v>
      </c>
      <c r="F35" t="str">
        <f>VLOOKUP(7,KKno,2,FALSE)</f>
        <v>TTC Dörsdorf 2</v>
      </c>
      <c r="G35" s="17">
        <f>IF(H35="Mo",Spieltage!$F$28,IF(H35="Di",Spieltage!$F$29,IF(H35="Mi",Spieltage!$F$30,IF(H35="Do",Spieltage!$F$31,IF(H35="Fr",Spieltage!$F$32,"")))))</f>
        <v>41684</v>
      </c>
      <c r="H35" t="str">
        <f>VLOOKUP(7,KKno,3,FALSE)</f>
        <v>Fr</v>
      </c>
      <c r="I35" s="19">
        <f>VLOOKUP(7,KKno,4,FALSE)</f>
        <v>0.8333333333333334</v>
      </c>
    </row>
    <row r="36" spans="1:9" ht="12.75">
      <c r="A36" s="17">
        <f>IF(B36="Mo",Spieltage!$B$28,IF(B36="Di",Spieltage!$B$29,IF(B36="Mi",Spieltage!$B$30,IF(B36="Do",Spieltage!$B$31,IF(B36="Fr",Spieltage!$B$32,"")))))</f>
      </c>
      <c r="B36" t="str">
        <f>VLOOKUP(10,KKno,3,FALSE)</f>
        <v> </v>
      </c>
      <c r="C36" s="19" t="str">
        <f>VLOOKUP(10,KKno,4,FALSE)</f>
        <v> </v>
      </c>
      <c r="D36" t="str">
        <f>VLOOKUP(10,KKno,2,FALSE)</f>
        <v>spielfrei</v>
      </c>
      <c r="E36" s="18" t="s">
        <v>35</v>
      </c>
      <c r="F36" t="str">
        <f>VLOOKUP(1,KKno,2,FALSE)</f>
        <v>TTF Eppelborn 2</v>
      </c>
      <c r="G36" s="17">
        <f>IF(H36="Mo",Spieltage!$F$28,IF(H36="Di",Spieltage!$F$29,IF(H36="Mi",Spieltage!$F$30,IF(H36="Do",Spieltage!$F$31,IF(H36="Fr",Spieltage!$F$32,"")))))</f>
        <v>41684</v>
      </c>
      <c r="H36" t="str">
        <f>VLOOKUP(1,KKno,3,FALSE)</f>
        <v>Fr</v>
      </c>
      <c r="I36" s="19">
        <f>VLOOKUP(1,KKno,4,FALSE)</f>
        <v>0.8125</v>
      </c>
    </row>
    <row r="38" spans="1:9" ht="12.75">
      <c r="A38" s="17">
        <f>IF(B38="Mo",Spieltage!$B$33,IF(B38="Di",Spieltage!$B$34,IF(B38="Mi",Spieltage!$B$35,IF(B38="Do",Spieltage!$B$36,IF(B38="Fr",Spieltage!$B$37,"")))))</f>
        <v>41586</v>
      </c>
      <c r="B38" t="str">
        <f>VLOOKUP(1,KKno,3,FALSE)</f>
        <v>Fr</v>
      </c>
      <c r="C38" s="19">
        <f>VLOOKUP(1,KKno,4,FALSE)</f>
        <v>0.8125</v>
      </c>
      <c r="D38" t="str">
        <f>VLOOKUP(1,KKno,2,FALSE)</f>
        <v>TTF Eppelborn 2</v>
      </c>
      <c r="E38" s="18" t="s">
        <v>35</v>
      </c>
      <c r="F38" t="str">
        <f>VLOOKUP(5,KKno,2,FALSE)</f>
        <v>TTV Hasborn 2</v>
      </c>
      <c r="G38" s="17">
        <f>IF(H38="Mo",Spieltage!$F$33,IF(H38="Di",Spieltage!$F$34,IF(H38="Mi",Spieltage!$F$35,IF(H38="Do",Spieltage!$F$36,IF(H38="Fr",Spieltage!$F$37,"")))))</f>
        <v>41691</v>
      </c>
      <c r="H38" t="str">
        <f>VLOOKUP(5,KKno,3,FALSE)</f>
        <v>Fr</v>
      </c>
      <c r="I38" s="19">
        <f>VLOOKUP(5,KKno,4,FALSE)</f>
        <v>0.7916666666666666</v>
      </c>
    </row>
    <row r="39" spans="1:9" ht="12.75">
      <c r="A39" s="17">
        <f>IF(B39="Mo",Spieltage!$B$33,IF(B39="Di",Spieltage!$B$34,IF(B39="Mi",Spieltage!$B$35,IF(B39="Do",Spieltage!$B$36,IF(B39="Fr",Spieltage!$B$37,"")))))</f>
        <v>41585</v>
      </c>
      <c r="B39" t="str">
        <f>VLOOKUP(2,KKno,3,FALSE)</f>
        <v>Do</v>
      </c>
      <c r="C39" s="19">
        <f>VLOOKUP(2,KKno,4,FALSE)</f>
        <v>0.8125</v>
      </c>
      <c r="D39" t="str">
        <f>VLOOKUP(2,KKno,2,FALSE)</f>
        <v>TTF Tholey</v>
      </c>
      <c r="E39" s="18" t="s">
        <v>35</v>
      </c>
      <c r="F39" t="str">
        <f>VLOOKUP(10,KKno,2,FALSE)</f>
        <v>spielfrei</v>
      </c>
      <c r="G39" s="17">
        <f>IF(H39="Mo",Spieltage!$F$33,IF(H39="Di",Spieltage!$F$34,IF(H39="Mi",Spieltage!$F$35,IF(H39="Do",Spieltage!$F$36,IF(H39="Fr",Spieltage!$F$37,"")))))</f>
      </c>
      <c r="H39" t="str">
        <f>VLOOKUP(10,KKno,3,FALSE)</f>
        <v> </v>
      </c>
      <c r="I39" s="19" t="str">
        <f>VLOOKUP(10,KKno,4,FALSE)</f>
        <v> </v>
      </c>
    </row>
    <row r="40" spans="1:9" ht="12.75">
      <c r="A40" s="17">
        <f>IF(B40="Mo",Spieltage!$B$33,IF(B40="Di",Spieltage!$B$34,IF(B40="Mi",Spieltage!$B$35,IF(B40="Do",Spieltage!$B$36,IF(B40="Fr",Spieltage!$B$37,"")))))</f>
        <v>41585</v>
      </c>
      <c r="B40" t="str">
        <f>VLOOKUP(3,KKno,3,FALSE)</f>
        <v>Do</v>
      </c>
      <c r="C40" s="19">
        <f>VLOOKUP(3,KKno,4,FALSE)</f>
        <v>0.8125</v>
      </c>
      <c r="D40" t="str">
        <f>VLOOKUP(3,KKno,2,FALSE)</f>
        <v>TTG Holz-Wahlschied 2</v>
      </c>
      <c r="E40" s="18" t="s">
        <v>35</v>
      </c>
      <c r="F40" t="str">
        <f>VLOOKUP(4,KKno,2,FALSE)</f>
        <v>DJK Bildstock 2</v>
      </c>
      <c r="G40" s="17">
        <f>IF(H40="Mo",Spieltage!$F$33,IF(H40="Di",Spieltage!$F$34,IF(H40="Mi",Spieltage!$F$35,IF(H40="Do",Spieltage!$F$36,IF(H40="Fr",Spieltage!$F$37,"")))))</f>
        <v>41688</v>
      </c>
      <c r="H40" t="str">
        <f>VLOOKUP(4,KKno,3,FALSE)</f>
        <v>Di</v>
      </c>
      <c r="I40" s="19">
        <f>VLOOKUP(4,KKno,4,FALSE)</f>
        <v>0.7916666666666666</v>
      </c>
    </row>
    <row r="41" spans="1:9" ht="12.75">
      <c r="A41" s="17">
        <f>IF(B41="Mo",Spieltage!$B$33,IF(B41="Di",Spieltage!$B$34,IF(B41="Mi",Spieltage!$B$35,IF(B41="Do",Spieltage!$B$36,IF(B41="Fr",Spieltage!$B$37,"")))))</f>
      </c>
      <c r="B41" t="str">
        <f>VLOOKUP(8,KKno,3,FALSE)</f>
        <v> </v>
      </c>
      <c r="C41" s="19" t="str">
        <f>VLOOKUP(8,KKno,4,FALSE)</f>
        <v> </v>
      </c>
      <c r="D41" t="str">
        <f>VLOOKUP(8,KKno,2,FALSE)</f>
        <v>spielfrei</v>
      </c>
      <c r="E41" s="18" t="s">
        <v>35</v>
      </c>
      <c r="F41" t="str">
        <f>VLOOKUP(7,KKno,2,FALSE)</f>
        <v>TTC Dörsdorf 2</v>
      </c>
      <c r="G41" s="17">
        <f>IF(H41="Mo",Spieltage!$F$33,IF(H41="Di",Spieltage!$F$34,IF(H41="Mi",Spieltage!$F$35,IF(H41="Do",Spieltage!$F$36,IF(H41="Fr",Spieltage!$F$37,"")))))</f>
        <v>41691</v>
      </c>
      <c r="H41" t="str">
        <f>VLOOKUP(7,KKno,3,FALSE)</f>
        <v>Fr</v>
      </c>
      <c r="I41" s="19">
        <f>VLOOKUP(7,KKno,4,FALSE)</f>
        <v>0.8333333333333334</v>
      </c>
    </row>
    <row r="42" spans="1:9" ht="12.75">
      <c r="A42" s="17">
        <f>IF(B42="Mo",Spieltage!$B$33,IF(B42="Di",Spieltage!$B$34,IF(B42="Mi",Spieltage!$B$35,IF(B42="Do",Spieltage!$B$36,IF(B42="Fr",Spieltage!$B$37,"")))))</f>
      </c>
      <c r="B42" t="str">
        <f>VLOOKUP(9,KKno,3,FALSE)</f>
        <v> </v>
      </c>
      <c r="C42" s="19" t="str">
        <f>VLOOKUP(9,KKno,4,FALSE)</f>
        <v> </v>
      </c>
      <c r="D42" t="str">
        <f>VLOOKUP(9,KKno,2,FALSE)</f>
        <v>spielfrei</v>
      </c>
      <c r="E42" s="18" t="s">
        <v>35</v>
      </c>
      <c r="F42" t="str">
        <f>VLOOKUP(6,KKno,2,FALSE)</f>
        <v>TTG Bexbach</v>
      </c>
      <c r="G42" s="17">
        <f>IF(H42="Mo",Spieltage!$F$33,IF(H42="Di",Spieltage!$F$34,IF(H42="Mi",Spieltage!$F$35,IF(H42="Do",Spieltage!$F$36,IF(H42="Fr",Spieltage!$F$37,"")))))</f>
        <v>41687</v>
      </c>
      <c r="H42" t="str">
        <f>VLOOKUP(6,KKno,3,FALSE)</f>
        <v>Mo</v>
      </c>
      <c r="I42" s="19">
        <f>VLOOKUP(6,KKno,4,FALSE)</f>
        <v>0.8125</v>
      </c>
    </row>
    <row r="44" spans="1:9" ht="12.75">
      <c r="A44" s="17">
        <f>IF(B44="Mo",Spieltage!$B$38,IF(B44="Di",Spieltage!$B$39,IF(B44="Mi",Spieltage!$B$40,IF(B44="Do",Spieltage!$B$41,IF(B44="Fr",Spieltage!$B$42,"")))))</f>
        <v>41590</v>
      </c>
      <c r="B44" t="str">
        <f>VLOOKUP(4,KKno,3,FALSE)</f>
        <v>Di</v>
      </c>
      <c r="C44" s="19">
        <f>VLOOKUP(4,KKno,4,FALSE)</f>
        <v>0.7916666666666666</v>
      </c>
      <c r="D44" t="str">
        <f>VLOOKUP(4,KKno,2,FALSE)</f>
        <v>DJK Bildstock 2</v>
      </c>
      <c r="E44" s="18" t="s">
        <v>35</v>
      </c>
      <c r="F44" t="str">
        <f>VLOOKUP(1,KKno,2,FALSE)</f>
        <v>TTF Eppelborn 2</v>
      </c>
      <c r="G44" s="17">
        <f>IF(H44="Mo",Spieltage!$F$38,IF(H44="Di",Spieltage!$F$39,IF(H44="Mi",Spieltage!$F$40,IF(H44="Do",Spieltage!$F$41,IF(H44="Fr",Spieltage!$F$42,"")))))</f>
        <v>41712</v>
      </c>
      <c r="H44" t="str">
        <f>VLOOKUP(1,KKno,3,FALSE)</f>
        <v>Fr</v>
      </c>
      <c r="I44" s="19">
        <f>VLOOKUP(1,KKno,4,FALSE)</f>
        <v>0.8125</v>
      </c>
    </row>
    <row r="45" spans="1:9" ht="12.75">
      <c r="A45" s="17">
        <f>IF(B45="Mo",Spieltage!$B$38,IF(B45="Di",Spieltage!$B$39,IF(B45="Mi",Spieltage!$B$40,IF(B45="Do",Spieltage!$B$41,IF(B45="Fr",Spieltage!$B$42,"")))))</f>
        <v>41593</v>
      </c>
      <c r="B45" t="str">
        <f>VLOOKUP(5,KKno,3,FALSE)</f>
        <v>Fr</v>
      </c>
      <c r="C45" s="19">
        <f>VLOOKUP(5,KKno,4,FALSE)</f>
        <v>0.7916666666666666</v>
      </c>
      <c r="D45" t="str">
        <f>VLOOKUP(5,KKno,2,FALSE)</f>
        <v>TTV Hasborn 2</v>
      </c>
      <c r="E45" s="18" t="s">
        <v>35</v>
      </c>
      <c r="F45" t="str">
        <f>VLOOKUP(2,KKno,2,FALSE)</f>
        <v>TTF Tholey</v>
      </c>
      <c r="G45" s="17">
        <f>IF(H45="Mo",Spieltage!$F$38,IF(H45="Di",Spieltage!$F$39,IF(H45="Mi",Spieltage!$F$40,IF(H45="Do",Spieltage!$F$41,IF(H45="Fr",Spieltage!$F$42,"")))))</f>
        <v>41711</v>
      </c>
      <c r="H45" t="str">
        <f>VLOOKUP(2,KKno,3,FALSE)</f>
        <v>Do</v>
      </c>
      <c r="I45" s="19">
        <f>VLOOKUP(2,KKno,4,FALSE)</f>
        <v>0.8125</v>
      </c>
    </row>
    <row r="46" spans="1:9" ht="12.75">
      <c r="A46" s="17">
        <f>IF(B46="Mo",Spieltage!$B$38,IF(B46="Di",Spieltage!$B$39,IF(B46="Mi",Spieltage!$B$40,IF(B46="Do",Spieltage!$B$41,IF(B46="Fr",Spieltage!$B$42,"")))))</f>
        <v>41589</v>
      </c>
      <c r="B46" t="str">
        <f>VLOOKUP(6,KKno,3,FALSE)</f>
        <v>Mo</v>
      </c>
      <c r="C46" s="19">
        <f>VLOOKUP(6,KKno,4,FALSE)</f>
        <v>0.8125</v>
      </c>
      <c r="D46" t="str">
        <f>VLOOKUP(6,KKno,2,FALSE)</f>
        <v>TTG Bexbach</v>
      </c>
      <c r="E46" s="18" t="s">
        <v>35</v>
      </c>
      <c r="F46" t="str">
        <f>VLOOKUP(8,KKno,2,FALSE)</f>
        <v>spielfrei</v>
      </c>
      <c r="G46" s="17">
        <f>IF(H46="Mo",Spieltage!$F$38,IF(H46="Di",Spieltage!$F$39,IF(H46="Mi",Spieltage!$F$40,IF(H46="Do",Spieltage!$F$41,IF(H46="Fr",Spieltage!$F$42,"")))))</f>
      </c>
      <c r="H46" t="str">
        <f>VLOOKUP(8,KKno,3,FALSE)</f>
        <v> </v>
      </c>
      <c r="I46" s="19" t="str">
        <f>VLOOKUP(8,KKno,4,FALSE)</f>
        <v> </v>
      </c>
    </row>
    <row r="47" spans="1:9" ht="12.75">
      <c r="A47" s="17">
        <f>IF(B47="Mo",Spieltage!$B$38,IF(B47="Di",Spieltage!$B$39,IF(B47="Mi",Spieltage!$B$40,IF(B47="Do",Spieltage!$B$41,IF(B47="Fr",Spieltage!$B$42,"")))))</f>
        <v>41593</v>
      </c>
      <c r="B47" t="str">
        <f>VLOOKUP(7,KKno,3,FALSE)</f>
        <v>Fr</v>
      </c>
      <c r="C47" s="19">
        <f>VLOOKUP(7,KKno,4,FALSE)</f>
        <v>0.8333333333333334</v>
      </c>
      <c r="D47" t="str">
        <f>VLOOKUP(7,KKno,2,FALSE)</f>
        <v>TTC Dörsdorf 2</v>
      </c>
      <c r="E47" s="18" t="s">
        <v>35</v>
      </c>
      <c r="F47" t="str">
        <f>VLOOKUP(9,KKno,2,FALSE)</f>
        <v>spielfrei</v>
      </c>
      <c r="G47" s="17">
        <f>IF(H47="Mo",Spieltage!$F$38,IF(H47="Di",Spieltage!$F$39,IF(H47="Mi",Spieltage!$F$40,IF(H47="Do",Spieltage!$F$41,IF(H47="Fr",Spieltage!$F$42,"")))))</f>
      </c>
      <c r="H47" t="str">
        <f>VLOOKUP(9,KKno,3,FALSE)</f>
        <v> </v>
      </c>
      <c r="I47" s="19" t="str">
        <f>VLOOKUP(9,KKno,4,FALSE)</f>
        <v> </v>
      </c>
    </row>
    <row r="48" spans="1:9" ht="12.75">
      <c r="A48" s="17">
        <f>IF(B48="Mo",Spieltage!$B$38,IF(B48="Di",Spieltage!$B$39,IF(B48="Mi",Spieltage!$B$40,IF(B48="Do",Spieltage!$B$41,IF(B48="Fr",Spieltage!$B$42,"")))))</f>
      </c>
      <c r="B48" t="str">
        <f>VLOOKUP(10,KKno,3,FALSE)</f>
        <v> </v>
      </c>
      <c r="C48" s="19" t="str">
        <f>VLOOKUP(10,KKno,4,FALSE)</f>
        <v> </v>
      </c>
      <c r="D48" t="str">
        <f>VLOOKUP(10,KKno,2,FALSE)</f>
        <v>spielfrei</v>
      </c>
      <c r="E48" s="18" t="s">
        <v>35</v>
      </c>
      <c r="F48" t="str">
        <f>VLOOKUP(3,KKno,2,FALSE)</f>
        <v>TTG Holz-Wahlschied 2</v>
      </c>
      <c r="G48" s="17">
        <f>IF(H48="Mo",Spieltage!$F$38,IF(H48="Di",Spieltage!$F$39,IF(H48="Mi",Spieltage!$F$40,IF(H48="Do",Spieltage!$F$41,IF(H48="Fr",Spieltage!$F$42,"")))))</f>
        <v>41711</v>
      </c>
      <c r="H48" t="str">
        <f>VLOOKUP(3,KKno,3,FALSE)</f>
        <v>Do</v>
      </c>
      <c r="I48" s="19">
        <f>VLOOKUP(3,KKno,4,FALSE)</f>
        <v>0.8125</v>
      </c>
    </row>
    <row r="50" spans="1:9" ht="12.75">
      <c r="A50" s="17">
        <f>IF(B50="Mo",Spieltage!$B$43,IF(B50="Di",Spieltage!$B$44,IF(B50="Mi",Spieltage!$B$45,IF(B50="Do",Spieltage!$B$46,IF(B50="Fr",Spieltage!$B$47,"")))))</f>
        <v>40876</v>
      </c>
      <c r="B50" t="str">
        <f>VLOOKUP(1,KKno,3,FALSE)</f>
        <v>Fr</v>
      </c>
      <c r="C50" s="19">
        <f>VLOOKUP(1,KKno,4,FALSE)</f>
        <v>0.8125</v>
      </c>
      <c r="D50" t="str">
        <f>VLOOKUP(1,KKno,2,FALSE)</f>
        <v>TTF Eppelborn 2</v>
      </c>
      <c r="E50" s="18" t="s">
        <v>35</v>
      </c>
      <c r="F50" t="str">
        <f>VLOOKUP(7,KKno,2,FALSE)</f>
        <v>TTC Dörsdorf 2</v>
      </c>
      <c r="G50" s="17">
        <f>IF(H50="Mo",Spieltage!$F$43,IF(H50="Di",Spieltage!$F$44,IF(H50="Mi",Spieltage!$F$45,IF(H50="Do",Spieltage!$F$46,IF(H50="Fr",Spieltage!$F$47,"")))))</f>
        <v>41726</v>
      </c>
      <c r="H50" t="str">
        <f>VLOOKUP(7,KKno,3,FALSE)</f>
        <v>Fr</v>
      </c>
      <c r="I50" s="19">
        <f>VLOOKUP(7,KKno,4,FALSE)</f>
        <v>0.8333333333333334</v>
      </c>
    </row>
    <row r="51" spans="1:9" ht="12.75">
      <c r="A51" s="17">
        <f>IF(B51="Mo",Spieltage!$B$43,IF(B51="Di",Spieltage!$B$44,IF(B51="Mi",Spieltage!$B$45,IF(B51="Do",Spieltage!$B$46,IF(B51="Fr",Spieltage!$B$47,"")))))</f>
        <v>40875</v>
      </c>
      <c r="B51" t="str">
        <f>VLOOKUP(2,KKno,3,FALSE)</f>
        <v>Do</v>
      </c>
      <c r="C51" s="19">
        <f>VLOOKUP(2,KKno,4,FALSE)</f>
        <v>0.8125</v>
      </c>
      <c r="D51" t="str">
        <f>VLOOKUP(2,KKno,2,FALSE)</f>
        <v>TTF Tholey</v>
      </c>
      <c r="E51" s="18" t="s">
        <v>35</v>
      </c>
      <c r="F51" t="str">
        <f>VLOOKUP(6,KKno,2,FALSE)</f>
        <v>TTG Bexbach</v>
      </c>
      <c r="G51" s="17">
        <f>IF(H51="Mo",Spieltage!$F$43,IF(H51="Di",Spieltage!$F$44,IF(H51="Mi",Spieltage!$F$45,IF(H51="Do",Spieltage!$F$46,IF(H51="Fr",Spieltage!$F$47,"")))))</f>
        <v>41722</v>
      </c>
      <c r="H51" t="str">
        <f>VLOOKUP(6,KKno,3,FALSE)</f>
        <v>Mo</v>
      </c>
      <c r="I51" s="19">
        <f>VLOOKUP(6,KKno,4,FALSE)</f>
        <v>0.8125</v>
      </c>
    </row>
    <row r="52" spans="1:9" ht="12.75">
      <c r="A52" s="17">
        <f>IF(B52="Mo",Spieltage!$B$43,IF(B52="Di",Spieltage!$B$44,IF(B52="Mi",Spieltage!$B$45,IF(B52="Do",Spieltage!$B$46,IF(B52="Fr",Spieltage!$B$47,"")))))</f>
        <v>40875</v>
      </c>
      <c r="B52" t="str">
        <f>VLOOKUP(3,KKno,3,FALSE)</f>
        <v>Do</v>
      </c>
      <c r="C52" s="19">
        <f>VLOOKUP(3,KKno,4,FALSE)</f>
        <v>0.8125</v>
      </c>
      <c r="D52" t="str">
        <f>VLOOKUP(3,KKno,2,FALSE)</f>
        <v>TTG Holz-Wahlschied 2</v>
      </c>
      <c r="E52" s="18" t="s">
        <v>35</v>
      </c>
      <c r="F52" t="str">
        <f>VLOOKUP(5,KKno,2,FALSE)</f>
        <v>TTV Hasborn 2</v>
      </c>
      <c r="G52" s="17">
        <f>IF(H52="Mo",Spieltage!$F$43,IF(H52="Di",Spieltage!$F$44,IF(H52="Mi",Spieltage!$F$45,IF(H52="Do",Spieltage!$F$46,IF(H52="Fr",Spieltage!$F$47,"")))))</f>
        <v>41726</v>
      </c>
      <c r="H52" t="str">
        <f>VLOOKUP(5,KKno,3,FALSE)</f>
        <v>Fr</v>
      </c>
      <c r="I52" s="19">
        <f>VLOOKUP(5,KKno,4,FALSE)</f>
        <v>0.7916666666666666</v>
      </c>
    </row>
    <row r="53" spans="1:9" ht="12.75">
      <c r="A53" s="17">
        <f>IF(B53="Mo",Spieltage!$B$43,IF(B53="Di",Spieltage!$B$44,IF(B53="Mi",Spieltage!$B$45,IF(B53="Do",Spieltage!$B$46,IF(B53="Fr",Spieltage!$B$47,"")))))</f>
        <v>40873</v>
      </c>
      <c r="B53" t="str">
        <f>VLOOKUP(4,KKno,3,FALSE)</f>
        <v>Di</v>
      </c>
      <c r="C53" s="19">
        <f>VLOOKUP(4,KKno,4,FALSE)</f>
        <v>0.7916666666666666</v>
      </c>
      <c r="D53" t="str">
        <f>VLOOKUP(4,KKno,2,FALSE)</f>
        <v>DJK Bildstock 2</v>
      </c>
      <c r="E53" s="18" t="s">
        <v>35</v>
      </c>
      <c r="F53" t="str">
        <f>VLOOKUP(10,KKno,2,FALSE)</f>
        <v>spielfrei</v>
      </c>
      <c r="G53" s="17">
        <f>IF(H53="Mo",Spieltage!$F$43,IF(H53="Di",Spieltage!$F$44,IF(H53="Mi",Spieltage!$F$45,IF(H53="Do",Spieltage!$F$46,IF(H53="Fr",Spieltage!$F$47,"")))))</f>
      </c>
      <c r="H53" t="str">
        <f>VLOOKUP(10,KKno,3,FALSE)</f>
        <v> </v>
      </c>
      <c r="I53" s="19" t="str">
        <f>VLOOKUP(10,KKno,4,FALSE)</f>
        <v> </v>
      </c>
    </row>
    <row r="54" spans="1:9" ht="12.75">
      <c r="A54" s="17">
        <f>IF(B54="Mo",Spieltage!$B$43,IF(B54="Di",Spieltage!$B$44,IF(B54="Mi",Spieltage!$B$45,IF(B54="Do",Spieltage!$B$46,IF(B54="Fr",Spieltage!$B$47,"")))))</f>
      </c>
      <c r="B54" t="str">
        <f>VLOOKUP(9,KKno,3,FALSE)</f>
        <v> </v>
      </c>
      <c r="C54" s="19" t="str">
        <f>VLOOKUP(9,KKno,4,FALSE)</f>
        <v> </v>
      </c>
      <c r="D54" t="str">
        <f>VLOOKUP(9,KKno,2,FALSE)</f>
        <v>spielfrei</v>
      </c>
      <c r="E54" s="18" t="s">
        <v>35</v>
      </c>
      <c r="F54" t="str">
        <f>VLOOKUP(8,KKno,2,FALSE)</f>
        <v>spielfrei</v>
      </c>
      <c r="G54" s="17">
        <f>IF(H54="Mo",Spieltage!$F$43,IF(H54="Di",Spieltage!$F$44,IF(H54="Mi",Spieltage!$F$45,IF(H54="Do",Spieltage!$F$46,IF(H54="Fr",Spieltage!$F$47,"")))))</f>
      </c>
      <c r="H54" t="str">
        <f>VLOOKUP(8,KKno,3,FALSE)</f>
        <v> </v>
      </c>
      <c r="I54" s="19" t="str">
        <f>VLOOKUP(8,KKno,4,FALSE)</f>
        <v> </v>
      </c>
    </row>
    <row r="56" spans="1:9" ht="12.75">
      <c r="A56" s="17">
        <f>IF(B56="Mo",Spieltage!$B$48,IF(B56="Di",Spieltage!$B$49,IF(B56="Mi",Spieltage!$B$50,IF(B56="Do",Spieltage!$B$51,IF(B56="Fr",Spieltage!$B$52,"")))))</f>
        <v>41614</v>
      </c>
      <c r="B56" t="str">
        <f>VLOOKUP(5,KKno,3,FALSE)</f>
        <v>Fr</v>
      </c>
      <c r="C56" s="19">
        <f>VLOOKUP(5,KKno,4,FALSE)</f>
        <v>0.7916666666666666</v>
      </c>
      <c r="D56" t="str">
        <f>VLOOKUP(5,KKno,2,FALSE)</f>
        <v>TTV Hasborn 2</v>
      </c>
      <c r="E56" s="18" t="s">
        <v>35</v>
      </c>
      <c r="F56" t="str">
        <f>VLOOKUP(4,KKno,2,FALSE)</f>
        <v>DJK Bildstock 2</v>
      </c>
      <c r="G56" s="17">
        <f>IF(H56="Mo",Spieltage!$F$48,IF(H56="Di",Spieltage!$F$49,IF(H56="Mi",Spieltage!$F$50,IF(H56="Do",Spieltage!$F$51,IF(H56="Fr",Spieltage!$F$52,"")))))</f>
        <v>41730</v>
      </c>
      <c r="H56" t="str">
        <f>VLOOKUP(4,KKno,3,FALSE)</f>
        <v>Di</v>
      </c>
      <c r="I56" s="19">
        <f>VLOOKUP(4,KKno,4,FALSE)</f>
        <v>0.7916666666666666</v>
      </c>
    </row>
    <row r="57" spans="1:9" ht="12.75">
      <c r="A57" s="17">
        <f>IF(B57="Mo",Spieltage!$B$48,IF(B57="Di",Spieltage!$B$49,IF(B57="Mi",Spieltage!$B$50,IF(B57="Do",Spieltage!$B$51,IF(B57="Fr",Spieltage!$B$52,"")))))</f>
        <v>41610</v>
      </c>
      <c r="B57" t="str">
        <f>VLOOKUP(6,KKno,3,FALSE)</f>
        <v>Mo</v>
      </c>
      <c r="C57" s="19">
        <f>VLOOKUP(6,KKno,4,FALSE)</f>
        <v>0.8125</v>
      </c>
      <c r="D57" t="str">
        <f>VLOOKUP(6,KKno,2,FALSE)</f>
        <v>TTG Bexbach</v>
      </c>
      <c r="E57" s="18" t="s">
        <v>35</v>
      </c>
      <c r="F57" t="str">
        <f>VLOOKUP(3,KKno,2,FALSE)</f>
        <v>TTG Holz-Wahlschied 2</v>
      </c>
      <c r="G57" s="17">
        <f>IF(H57="Mo",Spieltage!$F$48,IF(H57="Di",Spieltage!$F$49,IF(H57="Mi",Spieltage!$F$50,IF(H57="Do",Spieltage!$F$51,IF(H57="Fr",Spieltage!$F$52,"")))))</f>
        <v>41732</v>
      </c>
      <c r="H57" t="str">
        <f>VLOOKUP(3,KKno,3,FALSE)</f>
        <v>Do</v>
      </c>
      <c r="I57" s="19">
        <f>VLOOKUP(3,KKno,4,FALSE)</f>
        <v>0.8125</v>
      </c>
    </row>
    <row r="58" spans="1:9" ht="12.75">
      <c r="A58" s="17">
        <f>IF(B58="Mo",Spieltage!$B$48,IF(B58="Di",Spieltage!$B$49,IF(B58="Mi",Spieltage!$B$50,IF(B58="Do",Spieltage!$B$51,IF(B58="Fr",Spieltage!$B$52,"")))))</f>
        <v>41614</v>
      </c>
      <c r="B58" t="str">
        <f>VLOOKUP(7,KKno,3,FALSE)</f>
        <v>Fr</v>
      </c>
      <c r="C58" s="19">
        <f>VLOOKUP(7,KKno,4,FALSE)</f>
        <v>0.8333333333333334</v>
      </c>
      <c r="D58" t="str">
        <f>VLOOKUP(7,KKno,2,FALSE)</f>
        <v>TTC Dörsdorf 2</v>
      </c>
      <c r="E58" s="18" t="s">
        <v>35</v>
      </c>
      <c r="F58" t="str">
        <f>VLOOKUP(2,KKno,2,FALSE)</f>
        <v>TTF Tholey</v>
      </c>
      <c r="G58" s="17">
        <f>IF(H58="Mo",Spieltage!$F$48,IF(H58="Di",Spieltage!$F$49,IF(H58="Mi",Spieltage!$F$50,IF(H58="Do",Spieltage!$F$51,IF(H58="Fr",Spieltage!$F$52,"")))))</f>
        <v>41732</v>
      </c>
      <c r="H58" t="str">
        <f>VLOOKUP(2,KKno,3,FALSE)</f>
        <v>Do</v>
      </c>
      <c r="I58" s="19">
        <f>VLOOKUP(2,KKno,4,FALSE)</f>
        <v>0.8125</v>
      </c>
    </row>
    <row r="59" spans="1:9" ht="12.75">
      <c r="A59" s="17">
        <f>IF(B59="Mo",Spieltage!$B$48,IF(B59="Di",Spieltage!$B$49,IF(B59="Mi",Spieltage!$B$50,IF(B59="Do",Spieltage!$B$51,IF(B59="Fr",Spieltage!$B$52,"")))))</f>
      </c>
      <c r="B59" t="str">
        <f>VLOOKUP(8,KKno,3,FALSE)</f>
        <v> </v>
      </c>
      <c r="C59" s="19" t="str">
        <f>VLOOKUP(8,KKno,4,FALSE)</f>
        <v> </v>
      </c>
      <c r="D59" t="str">
        <f>VLOOKUP(8,KKno,2,FALSE)</f>
        <v>spielfrei</v>
      </c>
      <c r="E59" s="18" t="s">
        <v>35</v>
      </c>
      <c r="F59" t="str">
        <f>VLOOKUP(1,KKno,2,FALSE)</f>
        <v>TTF Eppelborn 2</v>
      </c>
      <c r="G59" s="17">
        <f>IF(H59="Mo",Spieltage!$F$48,IF(H59="Di",Spieltage!$F$49,IF(H59="Mi",Spieltage!$F$50,IF(H59="Do",Spieltage!$F$51,IF(H59="Fr",Spieltage!$F$52,"")))))</f>
        <v>41733</v>
      </c>
      <c r="H59" t="str">
        <f>VLOOKUP(1,KKno,3,FALSE)</f>
        <v>Fr</v>
      </c>
      <c r="I59" s="19">
        <f>VLOOKUP(1,KKno,4,FALSE)</f>
        <v>0.8125</v>
      </c>
    </row>
    <row r="60" spans="1:9" ht="12.75">
      <c r="A60" s="17">
        <f>IF(B60="Mo",Spieltage!$B$48,IF(B60="Di",Spieltage!$B$49,IF(B60="Mi",Spieltage!$B$50,IF(B60="Do",Spieltage!$B$51,IF(B60="Fr",Spieltage!$B$52,"")))))</f>
      </c>
      <c r="B60" t="str">
        <f>VLOOKUP(10,KKno,3,FALSE)</f>
        <v> </v>
      </c>
      <c r="C60" s="19" t="str">
        <f>VLOOKUP(10,KKno,4,FALSE)</f>
        <v> </v>
      </c>
      <c r="D60" t="str">
        <f>VLOOKUP(10,KKno,2,FALSE)</f>
        <v>spielfrei</v>
      </c>
      <c r="E60" s="18" t="s">
        <v>35</v>
      </c>
      <c r="F60" t="str">
        <f>VLOOKUP(9,KKno,2,FALSE)</f>
        <v>spielfrei</v>
      </c>
      <c r="G60" s="17">
        <f>IF(H60="Mo",Spieltage!$F$48,IF(H60="Di",Spieltage!$F$49,IF(H60="Mi",Spieltage!$F$50,IF(H60="Do",Spieltage!$F$51,IF(H60="Fr",Spieltage!$F$52,"")))))</f>
      </c>
      <c r="H60" t="str">
        <f>VLOOKUP(9,KKno,3,FALSE)</f>
        <v> </v>
      </c>
      <c r="I60" s="19" t="str">
        <f>VLOOKUP(9,KKno,4,FALSE)</f>
        <v> </v>
      </c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2" sqref="A2"/>
    </sheetView>
  </sheetViews>
  <sheetFormatPr defaultColWidth="11.421875" defaultRowHeight="12.75"/>
  <cols>
    <col min="1" max="1" width="10.28125" style="0" customWidth="1"/>
    <col min="2" max="2" width="3.7109375" style="0" customWidth="1"/>
    <col min="3" max="3" width="5.7109375" style="0" customWidth="1"/>
    <col min="4" max="4" width="21.7109375" style="0" customWidth="1"/>
    <col min="5" max="5" width="1.7109375" style="0" customWidth="1"/>
    <col min="6" max="6" width="21.7109375" style="0" customWidth="1"/>
    <col min="7" max="7" width="10.28125" style="0" customWidth="1"/>
    <col min="8" max="8" width="3.7109375" style="0" customWidth="1"/>
    <col min="9" max="9" width="5.7109375" style="0" customWidth="1"/>
  </cols>
  <sheetData>
    <row r="1" spans="1:9" ht="12.75">
      <c r="A1" s="1" t="s">
        <v>31</v>
      </c>
      <c r="I1" s="20" t="s">
        <v>32</v>
      </c>
    </row>
    <row r="2" ht="15.75">
      <c r="D2" s="4" t="s">
        <v>39</v>
      </c>
    </row>
    <row r="4" spans="1:4" ht="15.75">
      <c r="A4" s="4" t="s">
        <v>33</v>
      </c>
      <c r="D4" s="1" t="str">
        <f>Spieltage!A3&amp;" "&amp;Spieltage!B3</f>
        <v>Saison 2013/2014</v>
      </c>
    </row>
    <row r="6" spans="1:7" ht="12.75">
      <c r="A6" s="1" t="s">
        <v>28</v>
      </c>
      <c r="G6" s="1" t="s">
        <v>30</v>
      </c>
    </row>
    <row r="8" spans="1:9" ht="12.75">
      <c r="A8" s="17">
        <f>IF(B8="Mo",Spieltage!$B$8,IF(B8="Di",Spieltage!$B$9,IF(B8="Mi",Spieltage!$B$10,IF(B8="Do",Spieltage!$B$11,IF(B8="Fr",Spieltage!$B$12,"")))))</f>
        <v>41530</v>
      </c>
      <c r="B8" t="str">
        <f>VLOOKUP(1,KKno,3,FALSE)</f>
        <v>Fr</v>
      </c>
      <c r="C8" s="19">
        <f>VLOOKUP(1,KKno,4,FALSE)</f>
        <v>0.8125</v>
      </c>
      <c r="D8" t="str">
        <f>VLOOKUP(1,KKno,2,FALSE)</f>
        <v>TTF Eppelborn 2</v>
      </c>
      <c r="E8" s="18" t="s">
        <v>35</v>
      </c>
      <c r="F8" t="str">
        <f>VLOOKUP(8,KKno,2,FALSE)</f>
        <v>spielfrei</v>
      </c>
      <c r="G8" s="17">
        <f>IF(H8="Mo",Spieltage!$F$8,IF(H8="Di",Spieltage!$F$9,IF(H8="Mi",Spieltage!$F$10,IF(H8="Do",Spieltage!$F$11,IF(H8="Fr",Spieltage!$F$12,"")))))</f>
      </c>
      <c r="H8" t="str">
        <f>VLOOKUP(8,KKno,3,FALSE)</f>
        <v> </v>
      </c>
      <c r="I8" s="19" t="str">
        <f>VLOOKUP(8,KKno,4,FALSE)</f>
        <v> </v>
      </c>
    </row>
    <row r="9" spans="1:9" ht="12.75">
      <c r="A9" s="17">
        <f>IF(B9="Mo",Spieltage!$B$8,IF(B9="Di",Spieltage!$B$9,IF(B9="Mi",Spieltage!$B$10,IF(B9="Do",Spieltage!$B$11,IF(B9="Fr",Spieltage!$B$12,"")))))</f>
        <v>41529</v>
      </c>
      <c r="B9" t="str">
        <f>VLOOKUP(2,KKno,3,FALSE)</f>
        <v>Do</v>
      </c>
      <c r="C9" s="19">
        <f>VLOOKUP(2,KKno,4,FALSE)</f>
        <v>0.8125</v>
      </c>
      <c r="D9" t="str">
        <f>VLOOKUP(2,KKno,2,FALSE)</f>
        <v>TTF Tholey</v>
      </c>
      <c r="E9" s="18" t="s">
        <v>35</v>
      </c>
      <c r="F9" t="str">
        <f>VLOOKUP(7,KKno,2,FALSE)</f>
        <v>TTC Dörsdorf 2</v>
      </c>
      <c r="G9" s="17">
        <f>IF(H9="Mo",Spieltage!$F$8,IF(H9="Di",Spieltage!$F$9,IF(H9="Mi",Spieltage!$F$10,IF(H9="Do",Spieltage!$F$11,IF(H9="Fr",Spieltage!$F$12,"")))))</f>
        <v>41649</v>
      </c>
      <c r="H9" t="str">
        <f>VLOOKUP(7,KKno,3,FALSE)</f>
        <v>Fr</v>
      </c>
      <c r="I9" s="19">
        <f>VLOOKUP(7,KKno,4,FALSE)</f>
        <v>0.8333333333333334</v>
      </c>
    </row>
    <row r="10" spans="1:9" ht="12.75">
      <c r="A10" s="17">
        <f>IF(B10="Mo",Spieltage!$B$8,IF(B10="Di",Spieltage!$B$9,IF(B10="Mi",Spieltage!$B$10,IF(B10="Do",Spieltage!$B$11,IF(B10="Fr",Spieltage!$B$12,"")))))</f>
        <v>41529</v>
      </c>
      <c r="B10" t="str">
        <f>VLOOKUP(3,KKno,3,FALSE)</f>
        <v>Do</v>
      </c>
      <c r="C10" s="19">
        <f>VLOOKUP(3,KKno,4,FALSE)</f>
        <v>0.8125</v>
      </c>
      <c r="D10" t="str">
        <f>VLOOKUP(3,KKno,2,FALSE)</f>
        <v>TTG Holz-Wahlschied 2</v>
      </c>
      <c r="E10" s="18" t="s">
        <v>35</v>
      </c>
      <c r="F10" t="str">
        <f>VLOOKUP(6,KKno,2,FALSE)</f>
        <v>TTG Bexbach</v>
      </c>
      <c r="G10" s="17">
        <f>IF(H10="Mo",Spieltage!$F$8,IF(H10="Di",Spieltage!$F$9,IF(H10="Mi",Spieltage!$F$10,IF(H10="Do",Spieltage!$F$11,IF(H10="Fr",Spieltage!$F$12,"")))))</f>
        <v>41645</v>
      </c>
      <c r="H10" t="str">
        <f>VLOOKUP(6,KKno,3,FALSE)</f>
        <v>Mo</v>
      </c>
      <c r="I10" s="19">
        <f>VLOOKUP(6,KKno,4,FALSE)</f>
        <v>0.8125</v>
      </c>
    </row>
    <row r="11" spans="1:9" ht="12.75">
      <c r="A11" s="17">
        <f>IF(B11="Mo",Spieltage!$B$8,IF(B11="Di",Spieltage!$B$9,IF(B11="Mi",Spieltage!$B$10,IF(B11="Do",Spieltage!$B$11,IF(B11="Fr",Spieltage!$B$12,"")))))</f>
        <v>41527</v>
      </c>
      <c r="B11" t="str">
        <f>VLOOKUP(4,KKno,3,FALSE)</f>
        <v>Di</v>
      </c>
      <c r="C11" s="19">
        <f>VLOOKUP(4,KKno,4,FALSE)</f>
        <v>0.7916666666666666</v>
      </c>
      <c r="D11" t="str">
        <f>VLOOKUP(4,KKno,2,FALSE)</f>
        <v>DJK Bildstock 2</v>
      </c>
      <c r="E11" s="18" t="s">
        <v>35</v>
      </c>
      <c r="F11" t="str">
        <f>VLOOKUP(5,KKno,2,FALSE)</f>
        <v>TTV Hasborn 2</v>
      </c>
      <c r="G11" s="17">
        <f>IF(H11="Mo",Spieltage!$F$8,IF(H11="Di",Spieltage!$F$9,IF(H11="Mi",Spieltage!$F$10,IF(H11="Do",Spieltage!$F$11,IF(H11="Fr",Spieltage!$F$12,"")))))</f>
        <v>41649</v>
      </c>
      <c r="H11" t="str">
        <f>VLOOKUP(5,KKno,3,FALSE)</f>
        <v>Fr</v>
      </c>
      <c r="I11" s="19">
        <f>VLOOKUP(5,KKno,4,FALSE)</f>
        <v>0.7916666666666666</v>
      </c>
    </row>
    <row r="12" spans="1:9" ht="12.75">
      <c r="A12" s="17">
        <f>IF(B12="Mo",Spieltage!$B$8,IF(B12="Di",Spieltage!$B$9,IF(B12="Mi",Spieltage!$B$10,IF(B12="Do",Spieltage!$B$11,IF(B12="Fr",Spieltage!$B$12,"")))))</f>
      </c>
      <c r="C12" s="19"/>
      <c r="E12" s="18"/>
      <c r="G12" s="17"/>
      <c r="I12" s="19"/>
    </row>
    <row r="13" ht="12.75">
      <c r="E13" s="18"/>
    </row>
    <row r="14" spans="1:9" ht="12.75">
      <c r="A14" s="17">
        <f>IF(B14="Mo",Spieltage!$B$13,IF(B14="Di",Spieltage!$B$14,IF(B14="Mi",Spieltage!$B$15,IF(B14="Do",Spieltage!$B$16,IF(B14="Fr",Spieltage!$B$17,"")))))</f>
        <v>41537</v>
      </c>
      <c r="B14" t="str">
        <f>VLOOKUP(1,KKno,3,FALSE)</f>
        <v>Fr</v>
      </c>
      <c r="C14" s="19">
        <f>VLOOKUP(1,KKno,4,FALSE)</f>
        <v>0.8125</v>
      </c>
      <c r="D14" t="str">
        <f>VLOOKUP(1,KKno,2,FALSE)</f>
        <v>TTF Eppelborn 2</v>
      </c>
      <c r="E14" s="18" t="s">
        <v>35</v>
      </c>
      <c r="F14" t="str">
        <f>VLOOKUP(2,KKno,2,FALSE)</f>
        <v>TTF Tholey</v>
      </c>
      <c r="G14" s="17">
        <f>IF(H14="Mo",Spieltage!$F$13,IF(H14="Di",Spieltage!$F$14,IF(H14="Mi",Spieltage!$F$15,IF(H14="Do",Spieltage!$F$16,IF(H14="Fr",Spieltage!$F$17,"")))))</f>
        <v>41662</v>
      </c>
      <c r="H14" t="str">
        <f>VLOOKUP(2,KKno,3,FALSE)</f>
        <v>Do</v>
      </c>
      <c r="I14" s="19">
        <f>VLOOKUP(2,KKno,4,FALSE)</f>
        <v>0.8125</v>
      </c>
    </row>
    <row r="15" spans="1:9" ht="12.75">
      <c r="A15" s="17">
        <f>IF(B15="Mo",Spieltage!$B$13,IF(B15="Di",Spieltage!$B$14,IF(B15="Mi",Spieltage!$B$15,IF(B15="Do",Spieltage!$B$16,IF(B15="Fr",Spieltage!$B$17,"")))))</f>
        <v>41533</v>
      </c>
      <c r="B15" t="str">
        <f>VLOOKUP(6,KKno,3,FALSE)</f>
        <v>Mo</v>
      </c>
      <c r="C15" s="19">
        <f>VLOOKUP(6,KKno,4,FALSE)</f>
        <v>0.8125</v>
      </c>
      <c r="D15" t="str">
        <f>VLOOKUP(6,KKno,2,FALSE)</f>
        <v>TTG Bexbach</v>
      </c>
      <c r="E15" s="18" t="s">
        <v>35</v>
      </c>
      <c r="F15" t="str">
        <f>VLOOKUP(4,KKno,2,FALSE)</f>
        <v>DJK Bildstock 2</v>
      </c>
      <c r="G15" s="17">
        <f>IF(H15="Mo",Spieltage!$F$13,IF(H15="Di",Spieltage!$F$14,IF(H15="Mi",Spieltage!$F$15,IF(H15="Do",Spieltage!$F$16,IF(H15="Fr",Spieltage!$F$17,"")))))</f>
        <v>41660</v>
      </c>
      <c r="H15" t="str">
        <f>VLOOKUP(4,KKno,3,FALSE)</f>
        <v>Di</v>
      </c>
      <c r="I15" s="19">
        <f>VLOOKUP(4,KKno,4,FALSE)</f>
        <v>0.7916666666666666</v>
      </c>
    </row>
    <row r="16" spans="1:9" ht="12.75">
      <c r="A16" s="17">
        <f>IF(B16="Mo",Spieltage!$B$13,IF(B16="Di",Spieltage!$B$14,IF(B16="Mi",Spieltage!$B$15,IF(B16="Do",Spieltage!$B$16,IF(B16="Fr",Spieltage!$B$17,"")))))</f>
        <v>41537</v>
      </c>
      <c r="B16" t="str">
        <f>VLOOKUP(7,KKno,3,FALSE)</f>
        <v>Fr</v>
      </c>
      <c r="C16" s="19">
        <f>VLOOKUP(7,KKno,4,FALSE)</f>
        <v>0.8333333333333334</v>
      </c>
      <c r="D16" t="str">
        <f>VLOOKUP(7,KKno,2,FALSE)</f>
        <v>TTC Dörsdorf 2</v>
      </c>
      <c r="E16" s="18" t="s">
        <v>35</v>
      </c>
      <c r="F16" t="str">
        <f>VLOOKUP(3,KKno,2,FALSE)</f>
        <v>TTG Holz-Wahlschied 2</v>
      </c>
      <c r="G16" s="17">
        <f>IF(H16="Mo",Spieltage!$F$13,IF(H16="Di",Spieltage!$F$14,IF(H16="Mi",Spieltage!$F$15,IF(H16="Do",Spieltage!$F$16,IF(H16="Fr",Spieltage!$F$17,"")))))</f>
        <v>41662</v>
      </c>
      <c r="H16" t="str">
        <f>VLOOKUP(3,KKno,3,FALSE)</f>
        <v>Do</v>
      </c>
      <c r="I16" s="19">
        <f>VLOOKUP(3,KKno,4,FALSE)</f>
        <v>0.8125</v>
      </c>
    </row>
    <row r="17" spans="1:9" ht="12.75">
      <c r="A17" s="17">
        <f>IF(B17="Mo",Spieltage!$B$13,IF(B17="Di",Spieltage!$B$14,IF(B17="Mi",Spieltage!$B$15,IF(B17="Do",Spieltage!$B$16,IF(B17="Fr",Spieltage!$B$17,"")))))</f>
      </c>
      <c r="B17" t="str">
        <f>VLOOKUP(8,KKno,3,FALSE)</f>
        <v> </v>
      </c>
      <c r="C17" s="19" t="str">
        <f>VLOOKUP(8,KKno,4,FALSE)</f>
        <v> </v>
      </c>
      <c r="D17" t="str">
        <f>VLOOKUP(8,KKno,2,FALSE)</f>
        <v>spielfrei</v>
      </c>
      <c r="E17" s="18" t="s">
        <v>35</v>
      </c>
      <c r="F17" t="str">
        <f>VLOOKUP(5,KKno,2,FALSE)</f>
        <v>TTV Hasborn 2</v>
      </c>
      <c r="G17" s="17">
        <f>IF(H17="Mo",Spieltage!$F$13,IF(H17="Di",Spieltage!$F$14,IF(H17="Mi",Spieltage!$F$15,IF(H17="Do",Spieltage!$F$16,IF(H17="Fr",Spieltage!$F$17,"")))))</f>
        <v>41663</v>
      </c>
      <c r="H17" t="str">
        <f>VLOOKUP(5,KKno,3,FALSE)</f>
        <v>Fr</v>
      </c>
      <c r="I17" s="19">
        <f>VLOOKUP(5,KKno,4,FALSE)</f>
        <v>0.7916666666666666</v>
      </c>
    </row>
    <row r="18" spans="1:9" ht="12.75">
      <c r="A18" s="17">
        <f>IF(B18="Mo",Spieltage!$B$13,IF(B18="Di",Spieltage!$B$14,IF(B18="Mi",Spieltage!$B$15,IF(B18="Do",Spieltage!$B$16,IF(B18="Fr",Spieltage!$B$17,"")))))</f>
      </c>
      <c r="C18" s="19"/>
      <c r="E18" s="18"/>
      <c r="G18" s="17"/>
      <c r="I18" s="19"/>
    </row>
    <row r="20" spans="1:9" ht="12.75">
      <c r="A20" s="17">
        <f>IF(B20="Mo",Spieltage!$B$18,IF(B20="Di",Spieltage!$B$19,IF(B20="Mi",Spieltage!$B$20,IF(B20="Do",Spieltage!$B$21,IF(B20="Fr",Spieltage!$B$22,"")))))</f>
        <v>41543</v>
      </c>
      <c r="B20" t="str">
        <f>VLOOKUP(2,KKno,3,FALSE)</f>
        <v>Do</v>
      </c>
      <c r="C20" s="19">
        <f>VLOOKUP(2,KKno,4,FALSE)</f>
        <v>0.8125</v>
      </c>
      <c r="D20" t="str">
        <f>VLOOKUP(2,KKno,2,FALSE)</f>
        <v>TTF Tholey</v>
      </c>
      <c r="E20" s="18" t="s">
        <v>35</v>
      </c>
      <c r="F20" t="str">
        <f>VLOOKUP(8,KKno,2,FALSE)</f>
        <v>spielfrei</v>
      </c>
      <c r="G20" s="17">
        <f>IF(H20="Mo",Spieltage!$F$18,IF(H20="Di",Spieltage!$F$19,IF(H20="Mi",Spieltage!$F$20,IF(H20="Do",Spieltage!$F$21,IF(H20="Fr",Spieltage!$F$22,"")))))</f>
      </c>
      <c r="H20" t="str">
        <f>VLOOKUP(8,KKno,3,FALSE)</f>
        <v> </v>
      </c>
      <c r="I20" s="19" t="str">
        <f>VLOOKUP(8,KKno,4,FALSE)</f>
        <v> </v>
      </c>
    </row>
    <row r="21" spans="1:9" ht="12.75">
      <c r="A21" s="17">
        <f>IF(B21="Mo",Spieltage!$B$18,IF(B21="Di",Spieltage!$B$19,IF(B21="Mi",Spieltage!$B$20,IF(B21="Do",Spieltage!$B$21,IF(B21="Fr",Spieltage!$B$22,"")))))</f>
        <v>41543</v>
      </c>
      <c r="B21" t="str">
        <f>VLOOKUP(3,KKno,3,FALSE)</f>
        <v>Do</v>
      </c>
      <c r="C21" s="19">
        <f>VLOOKUP(3,KKno,4,FALSE)</f>
        <v>0.8125</v>
      </c>
      <c r="D21" t="str">
        <f>VLOOKUP(3,KKno,2,FALSE)</f>
        <v>TTG Holz-Wahlschied 2</v>
      </c>
      <c r="E21" s="18" t="s">
        <v>35</v>
      </c>
      <c r="F21" t="str">
        <f>VLOOKUP(1,KKno,2,FALSE)</f>
        <v>TTF Eppelborn 2</v>
      </c>
      <c r="G21" s="17">
        <f>IF(H21="Mo",Spieltage!$F$18,IF(H21="Di",Spieltage!$F$19,IF(H21="Mi",Spieltage!$F$20,IF(H21="Do",Spieltage!$F$21,IF(H21="Fr",Spieltage!$F$22,"")))))</f>
        <v>41670</v>
      </c>
      <c r="H21" t="str">
        <f>VLOOKUP(1,KKno,3,FALSE)</f>
        <v>Fr</v>
      </c>
      <c r="I21" s="19">
        <f>VLOOKUP(1,KKno,4,FALSE)</f>
        <v>0.8125</v>
      </c>
    </row>
    <row r="22" spans="1:9" ht="12.75">
      <c r="A22" s="17">
        <f>IF(B22="Mo",Spieltage!$B$18,IF(B22="Di",Spieltage!$B$19,IF(B22="Mi",Spieltage!$B$20,IF(B22="Do",Spieltage!$B$21,IF(B22="Fr",Spieltage!$B$22,"")))))</f>
        <v>41541</v>
      </c>
      <c r="B22" t="str">
        <f>VLOOKUP(4,KKno,3,FALSE)</f>
        <v>Di</v>
      </c>
      <c r="C22" s="19">
        <f>VLOOKUP(4,KKno,4,FALSE)</f>
        <v>0.7916666666666666</v>
      </c>
      <c r="D22" t="str">
        <f>VLOOKUP(4,KKno,2,FALSE)</f>
        <v>DJK Bildstock 2</v>
      </c>
      <c r="E22" s="18" t="s">
        <v>35</v>
      </c>
      <c r="F22" t="str">
        <f>VLOOKUP(7,KKno,2,FALSE)</f>
        <v>TTC Dörsdorf 2</v>
      </c>
      <c r="G22" s="17">
        <f>IF(H22="Mo",Spieltage!$F$18,IF(H22="Di",Spieltage!$F$19,IF(H22="Mi",Spieltage!$F$20,IF(H22="Do",Spieltage!$F$21,IF(H22="Fr",Spieltage!$F$22,"")))))</f>
        <v>41670</v>
      </c>
      <c r="H22" t="str">
        <f>VLOOKUP(7,KKno,3,FALSE)</f>
        <v>Fr</v>
      </c>
      <c r="I22" s="19">
        <f>VLOOKUP(7,KKno,4,FALSE)</f>
        <v>0.8333333333333334</v>
      </c>
    </row>
    <row r="23" spans="1:9" ht="12.75">
      <c r="A23" s="17">
        <f>IF(B23="Mo",Spieltage!$B$18,IF(B23="Di",Spieltage!$B$19,IF(B23="Mi",Spieltage!$B$20,IF(B23="Do",Spieltage!$B$21,IF(B23="Fr",Spieltage!$B$22,"")))))</f>
        <v>41544</v>
      </c>
      <c r="B23" t="str">
        <f>VLOOKUP(5,KKno,3,FALSE)</f>
        <v>Fr</v>
      </c>
      <c r="C23" s="19">
        <f>VLOOKUP(5,KKno,4,FALSE)</f>
        <v>0.7916666666666666</v>
      </c>
      <c r="D23" t="str">
        <f>VLOOKUP(5,KKno,2,FALSE)</f>
        <v>TTV Hasborn 2</v>
      </c>
      <c r="E23" s="18" t="s">
        <v>35</v>
      </c>
      <c r="F23" t="str">
        <f>VLOOKUP(6,KKno,2,FALSE)</f>
        <v>TTG Bexbach</v>
      </c>
      <c r="G23" s="17">
        <f>IF(H23="Mo",Spieltage!$F$18,IF(H23="Di",Spieltage!$F$19,IF(H23="Mi",Spieltage!$F$20,IF(H23="Do",Spieltage!$F$21,IF(H23="Fr",Spieltage!$F$22,"")))))</f>
        <v>41666</v>
      </c>
      <c r="H23" t="str">
        <f>VLOOKUP(6,KKno,3,FALSE)</f>
        <v>Mo</v>
      </c>
      <c r="I23" s="19">
        <f>VLOOKUP(6,KKno,4,FALSE)</f>
        <v>0.8125</v>
      </c>
    </row>
    <row r="24" spans="1:9" ht="12.75">
      <c r="A24" s="17">
        <f>IF(B24="Mo",Spieltage!$B$18,IF(B24="Di",Spieltage!$B$19,IF(B24="Mi",Spieltage!$B$20,IF(B24="Do",Spieltage!$B$21,IF(B24="Fr",Spieltage!$B$22,"")))))</f>
      </c>
      <c r="C24" s="19"/>
      <c r="E24" s="18"/>
      <c r="G24" s="17"/>
      <c r="I24" s="19"/>
    </row>
    <row r="26" spans="1:9" ht="12.75">
      <c r="A26" s="17">
        <f>IF(B26="Mo",Spieltage!$B$23,IF(B26="Di",Spieltage!$B$24,IF(B26="Mi",Spieltage!$B$25,IF(B26="Do",Spieltage!$B$26,IF(B26="Fr",Spieltage!$B$27,"")))))</f>
        <v>41558</v>
      </c>
      <c r="B26" t="str">
        <f>VLOOKUP(1,KKno,3,FALSE)</f>
        <v>Fr</v>
      </c>
      <c r="C26" s="19">
        <f>VLOOKUP(1,KKno,4,FALSE)</f>
        <v>0.8125</v>
      </c>
      <c r="D26" t="str">
        <f>VLOOKUP(1,KKno,2,FALSE)</f>
        <v>TTF Eppelborn 2</v>
      </c>
      <c r="E26" s="18" t="s">
        <v>35</v>
      </c>
      <c r="F26" t="str">
        <f>VLOOKUP(4,KKno,2,FALSE)</f>
        <v>DJK Bildstock 2</v>
      </c>
      <c r="G26" s="17">
        <f>IF(H26="Mo",Spieltage!$F$23,IF(H26="Di",Spieltage!$F$24,IF(H26="Mi",Spieltage!$F$25,IF(H26="Do",Spieltage!$F$26,IF(H26="Fr",Spieltage!$F$27,"")))))</f>
        <v>41674</v>
      </c>
      <c r="H26" t="str">
        <f>VLOOKUP(4,KKno,3,FALSE)</f>
        <v>Di</v>
      </c>
      <c r="I26" s="19">
        <f>VLOOKUP(4,KKno,4,FALSE)</f>
        <v>0.7916666666666666</v>
      </c>
    </row>
    <row r="27" spans="1:9" ht="12.75">
      <c r="A27" s="17">
        <f>IF(B27="Mo",Spieltage!$B$23,IF(B27="Di",Spieltage!$B$24,IF(B27="Mi",Spieltage!$B$25,IF(B27="Do",Spieltage!$B$26,IF(B27="Fr",Spieltage!$B$27,"")))))</f>
        <v>41557</v>
      </c>
      <c r="B27" t="str">
        <f>VLOOKUP(2,KKno,3,FALSE)</f>
        <v>Do</v>
      </c>
      <c r="C27" s="19">
        <f>VLOOKUP(2,KKno,4,FALSE)</f>
        <v>0.8125</v>
      </c>
      <c r="D27" t="str">
        <f>VLOOKUP(2,KKno,2,FALSE)</f>
        <v>TTF Tholey</v>
      </c>
      <c r="E27" s="18" t="s">
        <v>35</v>
      </c>
      <c r="F27" t="str">
        <f>VLOOKUP(3,KKno,2,FALSE)</f>
        <v>TTG Holz-Wahlschied 2</v>
      </c>
      <c r="G27" s="17">
        <f>IF(H27="Mo",Spieltage!$F$23,IF(H27="Di",Spieltage!$F$24,IF(H27="Mi",Spieltage!$F$25,IF(H27="Do",Spieltage!$F$26,IF(H27="Fr",Spieltage!$F$27,"")))))</f>
        <v>41676</v>
      </c>
      <c r="H27" t="str">
        <f>VLOOKUP(3,KKno,3,FALSE)</f>
        <v>Do</v>
      </c>
      <c r="I27" s="19">
        <f>VLOOKUP(3,KKno,4,FALSE)</f>
        <v>0.8125</v>
      </c>
    </row>
    <row r="28" spans="1:9" ht="12.75">
      <c r="A28" s="17">
        <f>IF(B28="Mo",Spieltage!$B$23,IF(B28="Di",Spieltage!$B$24,IF(B28="Mi",Spieltage!$B$25,IF(B28="Do",Spieltage!$B$26,IF(B28="Fr",Spieltage!$B$27,"")))))</f>
        <v>41558</v>
      </c>
      <c r="B28" t="str">
        <f>VLOOKUP(7,KKno,3,FALSE)</f>
        <v>Fr</v>
      </c>
      <c r="C28" s="19">
        <f>VLOOKUP(7,KKno,4,FALSE)</f>
        <v>0.8333333333333334</v>
      </c>
      <c r="D28" t="str">
        <f>VLOOKUP(7,KKno,2,FALSE)</f>
        <v>TTC Dörsdorf 2</v>
      </c>
      <c r="E28" s="18" t="s">
        <v>35</v>
      </c>
      <c r="F28" t="str">
        <f>VLOOKUP(5,KKno,2,FALSE)</f>
        <v>TTV Hasborn 2</v>
      </c>
      <c r="G28" s="17">
        <f>IF(H28="Mo",Spieltage!$F$23,IF(H28="Di",Spieltage!$F$24,IF(H28="Mi",Spieltage!$F$25,IF(H28="Do",Spieltage!$F$26,IF(H28="Fr",Spieltage!$F$27,"")))))</f>
        <v>41677</v>
      </c>
      <c r="H28" t="str">
        <f>VLOOKUP(5,KKno,3,FALSE)</f>
        <v>Fr</v>
      </c>
      <c r="I28" s="19">
        <f>VLOOKUP(5,KKno,4,FALSE)</f>
        <v>0.7916666666666666</v>
      </c>
    </row>
    <row r="29" spans="1:9" ht="12.75">
      <c r="A29" s="17">
        <f>IF(B29="Mo",Spieltage!$B$23,IF(B29="Di",Spieltage!$B$24,IF(B29="Mi",Spieltage!$B$25,IF(B29="Do",Spieltage!$B$26,IF(B29="Fr",Spieltage!$B$27,"")))))</f>
      </c>
      <c r="B29" t="str">
        <f>VLOOKUP(8,KKno,3,FALSE)</f>
        <v> </v>
      </c>
      <c r="C29" s="19" t="str">
        <f>VLOOKUP(8,KKno,4,FALSE)</f>
        <v> </v>
      </c>
      <c r="D29" t="str">
        <f>VLOOKUP(8,KKno,2,FALSE)</f>
        <v>spielfrei</v>
      </c>
      <c r="E29" s="18" t="s">
        <v>35</v>
      </c>
      <c r="F29" t="str">
        <f>VLOOKUP(6,KKno,2,FALSE)</f>
        <v>TTG Bexbach</v>
      </c>
      <c r="G29" s="17">
        <f>IF(H29="Mo",Spieltage!$F$23,IF(H29="Di",Spieltage!$F$24,IF(H29="Mi",Spieltage!$F$25,IF(H29="Do",Spieltage!$F$26,IF(H29="Fr",Spieltage!$F$27,"")))))</f>
        <v>41673</v>
      </c>
      <c r="H29" t="str">
        <f>VLOOKUP(6,KKno,3,FALSE)</f>
        <v>Mo</v>
      </c>
      <c r="I29" s="19">
        <f>VLOOKUP(6,KKno,4,FALSE)</f>
        <v>0.8125</v>
      </c>
    </row>
    <row r="30" spans="1:9" ht="12.75">
      <c r="A30" s="17">
        <f>IF(B30="Mo",Spieltage!$B$23,IF(B30="Di",Spieltage!$B$24,IF(B30="Mi",Spieltage!$B$25,IF(B30="Do",Spieltage!$B$26,IF(B30="Fr",Spieltage!$B$27,"")))))</f>
      </c>
      <c r="C30" s="19"/>
      <c r="E30" s="18"/>
      <c r="G30" s="17"/>
      <c r="I30" s="19"/>
    </row>
    <row r="32" spans="1:9" ht="12.75">
      <c r="A32" s="17">
        <f>IF(B32="Mo",Spieltage!$B$28,IF(B32="Di",Spieltage!$B$29,IF(B32="Mi",Spieltage!$B$30,IF(B32="Do",Spieltage!$B$31,IF(B32="Fr",Spieltage!$B$32,"")))))</f>
        <v>41564</v>
      </c>
      <c r="B32" t="str">
        <f>VLOOKUP(3,KKno,3,FALSE)</f>
        <v>Do</v>
      </c>
      <c r="C32" s="19">
        <f>VLOOKUP(3,KKno,4,FALSE)</f>
        <v>0.8125</v>
      </c>
      <c r="D32" t="str">
        <f>VLOOKUP(3,KKno,2,FALSE)</f>
        <v>TTG Holz-Wahlschied 2</v>
      </c>
      <c r="E32" s="18" t="s">
        <v>35</v>
      </c>
      <c r="F32" t="str">
        <f>VLOOKUP(8,KKno,2,FALSE)</f>
        <v>spielfrei</v>
      </c>
      <c r="G32" s="17">
        <f>IF(H32="Mo",Spieltage!$F$28,IF(H32="Di",Spieltage!$F$29,IF(H32="Mi",Spieltage!$F$30,IF(H32="Do",Spieltage!$F$31,IF(H32="Fr",Spieltage!$F$32,"")))))</f>
      </c>
      <c r="H32" t="str">
        <f>VLOOKUP(8,KKno,3,FALSE)</f>
        <v> </v>
      </c>
      <c r="I32" s="19" t="str">
        <f>VLOOKUP(8,KKno,4,FALSE)</f>
        <v> </v>
      </c>
    </row>
    <row r="33" spans="1:9" ht="12.75">
      <c r="A33" s="17">
        <f>IF(B33="Mo",Spieltage!$B$28,IF(B33="Di",Spieltage!$B$29,IF(B33="Mi",Spieltage!$B$30,IF(B33="Do",Spieltage!$B$31,IF(B33="Fr",Spieltage!$B$32,"")))))</f>
        <v>41562</v>
      </c>
      <c r="B33" t="str">
        <f>VLOOKUP(4,KKno,3,FALSE)</f>
        <v>Di</v>
      </c>
      <c r="C33" s="19">
        <f>VLOOKUP(4,KKno,4,FALSE)</f>
        <v>0.7916666666666666</v>
      </c>
      <c r="D33" t="str">
        <f>VLOOKUP(4,KKno,2,FALSE)</f>
        <v>DJK Bildstock 2</v>
      </c>
      <c r="E33" s="18" t="s">
        <v>35</v>
      </c>
      <c r="F33" t="str">
        <f>VLOOKUP(2,KKno,2,FALSE)</f>
        <v>TTF Tholey</v>
      </c>
      <c r="G33" s="17">
        <f>IF(H33="Mo",Spieltage!$F$28,IF(H33="Di",Spieltage!$F$29,IF(H33="Mi",Spieltage!$F$30,IF(H33="Do",Spieltage!$F$31,IF(H33="Fr",Spieltage!$F$32,"")))))</f>
        <v>41683</v>
      </c>
      <c r="H33" t="str">
        <f>VLOOKUP(2,KKno,3,FALSE)</f>
        <v>Do</v>
      </c>
      <c r="I33" s="19">
        <f>VLOOKUP(2,KKno,4,FALSE)</f>
        <v>0.8125</v>
      </c>
    </row>
    <row r="34" spans="1:9" ht="12.75">
      <c r="A34" s="17">
        <f>IF(B34="Mo",Spieltage!$B$28,IF(B34="Di",Spieltage!$B$29,IF(B34="Mi",Spieltage!$B$30,IF(B34="Do",Spieltage!$B$31,IF(B34="Fr",Spieltage!$B$32,"")))))</f>
        <v>41565</v>
      </c>
      <c r="B34" t="str">
        <f>VLOOKUP(5,KKno,3,FALSE)</f>
        <v>Fr</v>
      </c>
      <c r="C34" s="19">
        <f>VLOOKUP(5,KKno,4,FALSE)</f>
        <v>0.7916666666666666</v>
      </c>
      <c r="D34" t="str">
        <f>VLOOKUP(5,KKno,2,FALSE)</f>
        <v>TTV Hasborn 2</v>
      </c>
      <c r="E34" s="18" t="s">
        <v>35</v>
      </c>
      <c r="F34" t="str">
        <f>VLOOKUP(1,KKno,2,FALSE)</f>
        <v>TTF Eppelborn 2</v>
      </c>
      <c r="G34" s="17">
        <f>IF(H34="Mo",Spieltage!$F$28,IF(H34="Di",Spieltage!$F$29,IF(H34="Mi",Spieltage!$F$30,IF(H34="Do",Spieltage!$F$31,IF(H34="Fr",Spieltage!$F$32,"")))))</f>
        <v>41684</v>
      </c>
      <c r="H34" t="str">
        <f>VLOOKUP(1,KKno,3,FALSE)</f>
        <v>Fr</v>
      </c>
      <c r="I34" s="19">
        <f>VLOOKUP(1,KKno,4,FALSE)</f>
        <v>0.8125</v>
      </c>
    </row>
    <row r="35" spans="1:9" ht="12.75">
      <c r="A35" s="17">
        <f>IF(B35="Mo",Spieltage!$B$28,IF(B35="Di",Spieltage!$B$29,IF(B35="Mi",Spieltage!$B$30,IF(B35="Do",Spieltage!$B$31,IF(B35="Fr",Spieltage!$B$32,"")))))</f>
        <v>41561</v>
      </c>
      <c r="B35" t="str">
        <f>VLOOKUP(6,KKno,3,FALSE)</f>
        <v>Mo</v>
      </c>
      <c r="C35" s="19">
        <f>VLOOKUP(6,KKno,4,FALSE)</f>
        <v>0.8125</v>
      </c>
      <c r="D35" t="str">
        <f>VLOOKUP(6,KKno,2,FALSE)</f>
        <v>TTG Bexbach</v>
      </c>
      <c r="E35" s="18" t="s">
        <v>35</v>
      </c>
      <c r="F35" t="str">
        <f>VLOOKUP(7,KKno,2,FALSE)</f>
        <v>TTC Dörsdorf 2</v>
      </c>
      <c r="G35" s="17">
        <f>IF(H35="Mo",Spieltage!$F$28,IF(H35="Di",Spieltage!$F$29,IF(H35="Mi",Spieltage!$F$30,IF(H35="Do",Spieltage!$F$31,IF(H35="Fr",Spieltage!$F$32,"")))))</f>
        <v>41684</v>
      </c>
      <c r="H35" t="str">
        <f>VLOOKUP(7,KKno,3,FALSE)</f>
        <v>Fr</v>
      </c>
      <c r="I35" s="19">
        <f>VLOOKUP(7,KKno,4,FALSE)</f>
        <v>0.8333333333333334</v>
      </c>
    </row>
    <row r="36" spans="1:9" ht="12.75">
      <c r="A36" s="17">
        <f>IF(B36="Mo",Spieltage!$B$28,IF(B36="Di",Spieltage!$B$29,IF(B36="Mi",Spieltage!$B$30,IF(B36="Do",Spieltage!$B$31,IF(B36="Fr",Spieltage!$B$32,"")))))</f>
      </c>
      <c r="C36" s="19"/>
      <c r="E36" s="18"/>
      <c r="G36" s="17"/>
      <c r="I36" s="19"/>
    </row>
    <row r="38" spans="1:9" ht="12.75">
      <c r="A38" s="17">
        <f>IF(B38="Mo",Spieltage!$B$33,IF(B38="Di",Spieltage!$B$34,IF(B38="Mi",Spieltage!$B$35,IF(B38="Do",Spieltage!$B$36,IF(B38="Fr",Spieltage!$B$37,"")))))</f>
        <v>41586</v>
      </c>
      <c r="B38" t="str">
        <f>VLOOKUP(1,KKno,3,FALSE)</f>
        <v>Fr</v>
      </c>
      <c r="C38" s="19">
        <f>VLOOKUP(1,KKno,4,FALSE)</f>
        <v>0.8125</v>
      </c>
      <c r="D38" t="str">
        <f>VLOOKUP(1,KKno,2,FALSE)</f>
        <v>TTF Eppelborn 2</v>
      </c>
      <c r="E38" s="18" t="s">
        <v>35</v>
      </c>
      <c r="F38" t="str">
        <f>VLOOKUP(6,KKno,2,FALSE)</f>
        <v>TTG Bexbach</v>
      </c>
      <c r="G38" s="17">
        <f>IF(H38="Mo",Spieltage!$F$33,IF(H38="Di",Spieltage!$F$34,IF(H38="Mi",Spieltage!$F$35,IF(H38="Do",Spieltage!$F$36,IF(H38="Fr",Spieltage!$F$37,"")))))</f>
        <v>41687</v>
      </c>
      <c r="H38" t="str">
        <f>VLOOKUP(6,KKno,3,FALSE)</f>
        <v>Mo</v>
      </c>
      <c r="I38" s="19">
        <f>VLOOKUP(6,KKno,4,FALSE)</f>
        <v>0.8125</v>
      </c>
    </row>
    <row r="39" spans="1:9" ht="12.75">
      <c r="A39" s="17">
        <f>IF(B39="Mo",Spieltage!$B$33,IF(B39="Di",Spieltage!$B$34,IF(B39="Mi",Spieltage!$B$35,IF(B39="Do",Spieltage!$B$36,IF(B39="Fr",Spieltage!$B$37,"")))))</f>
        <v>41585</v>
      </c>
      <c r="B39" t="str">
        <f>VLOOKUP(2,KKno,3,FALSE)</f>
        <v>Do</v>
      </c>
      <c r="C39" s="19">
        <f>VLOOKUP(2,KKno,4,FALSE)</f>
        <v>0.8125</v>
      </c>
      <c r="D39" t="str">
        <f>VLOOKUP(2,KKno,2,FALSE)</f>
        <v>TTF Tholey</v>
      </c>
      <c r="E39" s="18" t="s">
        <v>35</v>
      </c>
      <c r="F39" t="str">
        <f>VLOOKUP(5,KKno,2,FALSE)</f>
        <v>TTV Hasborn 2</v>
      </c>
      <c r="G39" s="17">
        <f>IF(H39="Mo",Spieltage!$F$33,IF(H39="Di",Spieltage!$F$34,IF(H39="Mi",Spieltage!$F$35,IF(H39="Do",Spieltage!$F$36,IF(H39="Fr",Spieltage!$F$37,"")))))</f>
        <v>41691</v>
      </c>
      <c r="H39" t="str">
        <f>VLOOKUP(5,KKno,3,FALSE)</f>
        <v>Fr</v>
      </c>
      <c r="I39" s="19">
        <f>VLOOKUP(5,KKno,4,FALSE)</f>
        <v>0.7916666666666666</v>
      </c>
    </row>
    <row r="40" spans="1:9" ht="12.75">
      <c r="A40" s="17">
        <f>IF(B40="Mo",Spieltage!$B$33,IF(B40="Di",Spieltage!$B$34,IF(B40="Mi",Spieltage!$B$35,IF(B40="Do",Spieltage!$B$36,IF(B40="Fr",Spieltage!$B$37,"")))))</f>
        <v>41585</v>
      </c>
      <c r="B40" t="str">
        <f>VLOOKUP(3,KKno,3,FALSE)</f>
        <v>Do</v>
      </c>
      <c r="C40" s="19">
        <f>VLOOKUP(3,KKno,4,FALSE)</f>
        <v>0.8125</v>
      </c>
      <c r="D40" t="str">
        <f>VLOOKUP(3,KKno,2,FALSE)</f>
        <v>TTG Holz-Wahlschied 2</v>
      </c>
      <c r="E40" s="18" t="s">
        <v>35</v>
      </c>
      <c r="F40" t="str">
        <f>VLOOKUP(4,KKno,2,FALSE)</f>
        <v>DJK Bildstock 2</v>
      </c>
      <c r="G40" s="17">
        <f>IF(H40="Mo",Spieltage!$F$33,IF(H40="Di",Spieltage!$F$34,IF(H40="Mi",Spieltage!$F$35,IF(H40="Do",Spieltage!$F$36,IF(H40="Fr",Spieltage!$F$37,"")))))</f>
        <v>41688</v>
      </c>
      <c r="H40" t="str">
        <f>VLOOKUP(4,KKno,3,FALSE)</f>
        <v>Di</v>
      </c>
      <c r="I40" s="19">
        <f>VLOOKUP(4,KKno,4,FALSE)</f>
        <v>0.7916666666666666</v>
      </c>
    </row>
    <row r="41" spans="1:9" ht="12.75">
      <c r="A41" s="17">
        <f>IF(B41="Mo",Spieltage!$B$33,IF(B41="Di",Spieltage!$B$34,IF(B41="Mi",Spieltage!$B$35,IF(B41="Do",Spieltage!$B$36,IF(B41="Fr",Spieltage!$B$37,"")))))</f>
      </c>
      <c r="B41" t="str">
        <f>VLOOKUP(8,KKno,3,FALSE)</f>
        <v> </v>
      </c>
      <c r="C41" s="19" t="str">
        <f>VLOOKUP(8,KKno,4,FALSE)</f>
        <v> </v>
      </c>
      <c r="D41" t="str">
        <f>VLOOKUP(8,KKno,2,FALSE)</f>
        <v>spielfrei</v>
      </c>
      <c r="E41" s="18" t="s">
        <v>35</v>
      </c>
      <c r="F41" t="str">
        <f>VLOOKUP(7,KKno,2,FALSE)</f>
        <v>TTC Dörsdorf 2</v>
      </c>
      <c r="G41" s="17">
        <f>IF(H41="Mo",Spieltage!$F$33,IF(H41="Di",Spieltage!$F$34,IF(H41="Mi",Spieltage!$F$35,IF(H41="Do",Spieltage!$F$36,IF(H41="Fr",Spieltage!$F$37,"")))))</f>
        <v>41691</v>
      </c>
      <c r="H41" t="str">
        <f>VLOOKUP(7,KKno,3,FALSE)</f>
        <v>Fr</v>
      </c>
      <c r="I41" s="19">
        <f>VLOOKUP(7,KKno,4,FALSE)</f>
        <v>0.8333333333333334</v>
      </c>
    </row>
    <row r="42" spans="1:9" ht="12.75">
      <c r="A42" s="17">
        <f>IF(B42="Mo",Spieltage!$B$33,IF(B42="Di",Spieltage!$B$34,IF(B42="Mi",Spieltage!$B$35,IF(B42="Do",Spieltage!$B$36,IF(B42="Fr",Spieltage!$B$37,"")))))</f>
      </c>
      <c r="C42" s="19"/>
      <c r="E42" s="18"/>
      <c r="G42" s="17"/>
      <c r="I42" s="19"/>
    </row>
    <row r="44" spans="1:9" ht="12.75">
      <c r="A44" s="17">
        <f>IF(B44="Mo",Spieltage!$B$38,IF(B44="Di",Spieltage!$B$39,IF(B44="Mi",Spieltage!$B$40,IF(B44="Do",Spieltage!$B$41,IF(B44="Fr",Spieltage!$B$42,"")))))</f>
        <v>41590</v>
      </c>
      <c r="B44" t="str">
        <f>VLOOKUP(4,KKno,3,FALSE)</f>
        <v>Di</v>
      </c>
      <c r="C44" s="19">
        <f>VLOOKUP(4,KKno,4,FALSE)</f>
        <v>0.7916666666666666</v>
      </c>
      <c r="D44" t="str">
        <f>VLOOKUP(4,KKno,2,FALSE)</f>
        <v>DJK Bildstock 2</v>
      </c>
      <c r="E44" s="18" t="s">
        <v>35</v>
      </c>
      <c r="F44" t="str">
        <f>VLOOKUP(8,KKno,2,FALSE)</f>
        <v>spielfrei</v>
      </c>
      <c r="G44" s="17">
        <f>IF(H44="Mo",Spieltage!$F$38,IF(H44="Di",Spieltage!$F$39,IF(H44="Mi",Spieltage!$F$40,IF(H44="Do",Spieltage!$F$41,IF(H44="Fr",Spieltage!$F$42,"")))))</f>
      </c>
      <c r="H44" t="str">
        <f>VLOOKUP(8,KKno,3,FALSE)</f>
        <v> </v>
      </c>
      <c r="I44" s="19" t="str">
        <f>VLOOKUP(8,KKno,4,FALSE)</f>
        <v> </v>
      </c>
    </row>
    <row r="45" spans="1:9" ht="12.75">
      <c r="A45" s="17">
        <f>IF(B45="Mo",Spieltage!$B$38,IF(B45="Di",Spieltage!$B$39,IF(B45="Mi",Spieltage!$B$40,IF(B45="Do",Spieltage!$B$41,IF(B45="Fr",Spieltage!$B$42,"")))))</f>
        <v>41593</v>
      </c>
      <c r="B45" t="str">
        <f>VLOOKUP(5,KKno,3,FALSE)</f>
        <v>Fr</v>
      </c>
      <c r="C45" s="19">
        <f>VLOOKUP(5,KKno,4,FALSE)</f>
        <v>0.7916666666666666</v>
      </c>
      <c r="D45" t="str">
        <f>VLOOKUP(5,KKno,2,FALSE)</f>
        <v>TTV Hasborn 2</v>
      </c>
      <c r="E45" s="18" t="s">
        <v>35</v>
      </c>
      <c r="F45" t="str">
        <f>VLOOKUP(3,KKno,2,FALSE)</f>
        <v>TTG Holz-Wahlschied 2</v>
      </c>
      <c r="G45" s="17">
        <f>IF(H45="Mo",Spieltage!$F$38,IF(H45="Di",Spieltage!$F$39,IF(H45="Mi",Spieltage!$F$40,IF(H45="Do",Spieltage!$F$41,IF(H45="Fr",Spieltage!$F$42,"")))))</f>
        <v>41711</v>
      </c>
      <c r="H45" t="str">
        <f>VLOOKUP(3,KKno,3,FALSE)</f>
        <v>Do</v>
      </c>
      <c r="I45" s="19">
        <f>VLOOKUP(3,KKno,4,FALSE)</f>
        <v>0.8125</v>
      </c>
    </row>
    <row r="46" spans="1:9" ht="12.75">
      <c r="A46" s="17">
        <f>IF(B46="Mo",Spieltage!$B$38,IF(B46="Di",Spieltage!$B$39,IF(B46="Mi",Spieltage!$B$40,IF(B46="Do",Spieltage!$B$41,IF(B46="Fr",Spieltage!$B$42,"")))))</f>
        <v>41589</v>
      </c>
      <c r="B46" t="str">
        <f>VLOOKUP(6,KKno,3,FALSE)</f>
        <v>Mo</v>
      </c>
      <c r="C46" s="19">
        <f>VLOOKUP(6,KKno,4,FALSE)</f>
        <v>0.8125</v>
      </c>
      <c r="D46" t="str">
        <f>VLOOKUP(6,KKno,2,FALSE)</f>
        <v>TTG Bexbach</v>
      </c>
      <c r="E46" s="18" t="s">
        <v>35</v>
      </c>
      <c r="F46" t="str">
        <f>VLOOKUP(2,KKno,2,FALSE)</f>
        <v>TTF Tholey</v>
      </c>
      <c r="G46" s="17">
        <f>IF(H46="Mo",Spieltage!$F$38,IF(H46="Di",Spieltage!$F$39,IF(H46="Mi",Spieltage!$F$40,IF(H46="Do",Spieltage!$F$41,IF(H46="Fr",Spieltage!$F$42,"")))))</f>
        <v>41711</v>
      </c>
      <c r="H46" t="str">
        <f>VLOOKUP(2,KKno,3,FALSE)</f>
        <v>Do</v>
      </c>
      <c r="I46" s="19">
        <f>VLOOKUP(2,KKno,4,FALSE)</f>
        <v>0.8125</v>
      </c>
    </row>
    <row r="47" spans="1:9" ht="12.75">
      <c r="A47" s="17">
        <f>IF(B47="Mo",Spieltage!$B$38,IF(B47="Di",Spieltage!$B$39,IF(B47="Mi",Spieltage!$B$40,IF(B47="Do",Spieltage!$B$41,IF(B47="Fr",Spieltage!$B$42,"")))))</f>
        <v>41593</v>
      </c>
      <c r="B47" t="str">
        <f>VLOOKUP(7,KKno,3,FALSE)</f>
        <v>Fr</v>
      </c>
      <c r="C47" s="19">
        <f>VLOOKUP(7,KKno,4,FALSE)</f>
        <v>0.8333333333333334</v>
      </c>
      <c r="D47" t="str">
        <f>VLOOKUP(7,KKno,2,FALSE)</f>
        <v>TTC Dörsdorf 2</v>
      </c>
      <c r="E47" s="18" t="s">
        <v>35</v>
      </c>
      <c r="F47" t="str">
        <f>VLOOKUP(1,KKno,2,FALSE)</f>
        <v>TTF Eppelborn 2</v>
      </c>
      <c r="G47" s="17">
        <f>IF(H47="Mo",Spieltage!$F$38,IF(H47="Di",Spieltage!$F$39,IF(H47="Mi",Spieltage!$F$40,IF(H47="Do",Spieltage!$F$41,IF(H47="Fr",Spieltage!$F$42,"")))))</f>
        <v>41712</v>
      </c>
      <c r="H47" t="str">
        <f>VLOOKUP(1,KKno,3,FALSE)</f>
        <v>Fr</v>
      </c>
      <c r="I47" s="19">
        <f>VLOOKUP(1,KKno,4,FALSE)</f>
        <v>0.8125</v>
      </c>
    </row>
    <row r="48" spans="1:9" ht="12.75">
      <c r="A48" s="17">
        <f>IF(B48="Mo",Spieltage!$B$38,IF(B48="Di",Spieltage!$B$39,IF(B48="Mi",Spieltage!$B$40,IF(B48="Do",Spieltage!$B$41,IF(B48="Fr",Spieltage!$B$42,"")))))</f>
      </c>
      <c r="C48" s="19"/>
      <c r="E48" s="18"/>
      <c r="G48" s="17"/>
      <c r="I48" s="19"/>
    </row>
    <row r="50" spans="1:9" ht="12.75">
      <c r="A50" s="17"/>
      <c r="C50" s="19"/>
      <c r="E50" s="18"/>
      <c r="G50" s="17"/>
      <c r="I50" s="19"/>
    </row>
    <row r="51" spans="1:9" ht="12.75">
      <c r="A51" s="17"/>
      <c r="C51" s="19"/>
      <c r="E51" s="18"/>
      <c r="G51" s="17"/>
      <c r="I51" s="19"/>
    </row>
    <row r="52" spans="1:9" ht="12.75">
      <c r="A52" s="17"/>
      <c r="C52" s="19"/>
      <c r="E52" s="18"/>
      <c r="G52" s="17"/>
      <c r="I52" s="19"/>
    </row>
    <row r="53" spans="1:9" ht="12.75">
      <c r="A53" s="17"/>
      <c r="C53" s="19"/>
      <c r="E53" s="18"/>
      <c r="G53" s="17"/>
      <c r="I53" s="19"/>
    </row>
    <row r="54" spans="1:9" ht="12.75">
      <c r="A54" s="17"/>
      <c r="C54" s="19"/>
      <c r="E54" s="18"/>
      <c r="G54" s="17"/>
      <c r="I54" s="19"/>
    </row>
    <row r="56" spans="1:9" ht="12.75">
      <c r="A56" s="17"/>
      <c r="C56" s="19"/>
      <c r="E56" s="18"/>
      <c r="G56" s="17"/>
      <c r="I56" s="19"/>
    </row>
    <row r="57" spans="1:9" ht="12.75">
      <c r="A57" s="17"/>
      <c r="C57" s="19"/>
      <c r="E57" s="18"/>
      <c r="G57" s="17"/>
      <c r="I57" s="19"/>
    </row>
    <row r="58" spans="1:9" ht="12.75">
      <c r="A58" s="17"/>
      <c r="C58" s="19"/>
      <c r="E58" s="18"/>
      <c r="G58" s="17"/>
      <c r="I58" s="19"/>
    </row>
    <row r="59" spans="1:9" ht="12.75">
      <c r="A59" s="17"/>
      <c r="C59" s="19"/>
      <c r="E59" s="18"/>
      <c r="G59" s="17"/>
      <c r="I59" s="19"/>
    </row>
    <row r="60" spans="1:9" ht="12.75">
      <c r="A60" s="17"/>
      <c r="C60" s="19"/>
      <c r="E60" s="18"/>
      <c r="G60" s="17"/>
      <c r="I60" s="19"/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2" sqref="A2"/>
    </sheetView>
  </sheetViews>
  <sheetFormatPr defaultColWidth="11.421875" defaultRowHeight="12.75"/>
  <cols>
    <col min="1" max="1" width="10.28125" style="0" customWidth="1"/>
    <col min="2" max="2" width="3.7109375" style="0" customWidth="1"/>
    <col min="3" max="3" width="5.7109375" style="0" customWidth="1"/>
    <col min="4" max="4" width="21.7109375" style="0" customWidth="1"/>
    <col min="5" max="5" width="1.7109375" style="0" customWidth="1"/>
    <col min="6" max="6" width="21.7109375" style="0" customWidth="1"/>
    <col min="7" max="7" width="10.28125" style="0" customWidth="1"/>
    <col min="8" max="8" width="3.7109375" style="0" customWidth="1"/>
    <col min="9" max="9" width="5.7109375" style="0" customWidth="1"/>
  </cols>
  <sheetData>
    <row r="1" spans="1:9" ht="12.75">
      <c r="A1" s="1" t="s">
        <v>31</v>
      </c>
      <c r="I1" s="20" t="s">
        <v>32</v>
      </c>
    </row>
    <row r="2" ht="15.75">
      <c r="D2" s="4" t="s">
        <v>24</v>
      </c>
    </row>
    <row r="4" spans="1:4" ht="15.75">
      <c r="A4" s="4" t="s">
        <v>33</v>
      </c>
      <c r="D4" s="1" t="str">
        <f>Spieltage!A3&amp;" "&amp;Spieltage!B3</f>
        <v>Saison 2013/2014</v>
      </c>
    </row>
    <row r="6" spans="1:7" ht="12.75">
      <c r="A6" s="1" t="s">
        <v>28</v>
      </c>
      <c r="G6" s="1" t="s">
        <v>30</v>
      </c>
    </row>
    <row r="8" spans="1:9" ht="12.75">
      <c r="A8" s="17">
        <f>IF(B8="Mo",Spieltage!$B$8,IF(B8="Di",Spieltage!$B$9,IF(B8="Mi",Spieltage!$B$10,IF(B8="Do",Spieltage!$B$11,IF(B8="Fr",Spieltage!$B$12,"")))))</f>
        <v>41527</v>
      </c>
      <c r="B8" t="str">
        <f>VLOOKUP(1,KKsued,3,FALSE)</f>
        <v>Di</v>
      </c>
      <c r="C8" s="19">
        <f>VLOOKUP(1,KKsued,4,FALSE)</f>
        <v>0.8125</v>
      </c>
      <c r="D8" t="str">
        <f>VLOOKUP(1,KKsued,2,FALSE)</f>
        <v>TTC Hostenbach </v>
      </c>
      <c r="E8" s="18" t="s">
        <v>35</v>
      </c>
      <c r="F8" t="str">
        <f>VLOOKUP(9,KKsued,2,FALSE)</f>
        <v>TTC Hostenbach 2</v>
      </c>
      <c r="G8" s="17">
        <f>IF(H8="Mo",Spieltage!$F$8,IF(H8="Di",Spieltage!$F$9,IF(H8="Mi",Spieltage!$F$10,IF(H8="Do",Spieltage!$F$11,IF(H8="Fr",Spieltage!$F$12,"")))))</f>
        <v>41648</v>
      </c>
      <c r="H8" t="str">
        <f>VLOOKUP(9,KKsued,3,FALSE)</f>
        <v>Do</v>
      </c>
      <c r="I8" s="19">
        <f>VLOOKUP(9,KKsued,4,FALSE)</f>
        <v>0.8125</v>
      </c>
    </row>
    <row r="9" spans="1:9" ht="12.75">
      <c r="A9" s="17">
        <f>IF(B9="Mo",Spieltage!$B$8,IF(B9="Di",Spieltage!$B$9,IF(B9="Mi",Spieltage!$B$10,IF(B9="Do",Spieltage!$B$11,IF(B9="Fr",Spieltage!$B$12,"")))))</f>
        <v>41529</v>
      </c>
      <c r="B9" t="str">
        <f>VLOOKUP(2,KKsued,3,FALSE)</f>
        <v>Do</v>
      </c>
      <c r="C9" s="19">
        <f>VLOOKUP(2,KKsued,4,FALSE)</f>
        <v>0.8333333333333334</v>
      </c>
      <c r="D9" t="str">
        <f>VLOOKUP(2,KKsued,2,FALSE)</f>
        <v>SV Sitterswald </v>
      </c>
      <c r="E9" s="18" t="s">
        <v>35</v>
      </c>
      <c r="F9" t="str">
        <f>VLOOKUP(8,KKsued,2,FALSE)</f>
        <v>TTC Köllerbach 4</v>
      </c>
      <c r="G9" s="17">
        <f>IF(H9="Mo",Spieltage!$F$8,IF(H9="Di",Spieltage!$F$9,IF(H9="Mi",Spieltage!$F$10,IF(H9="Do",Spieltage!$F$11,IF(H9="Fr",Spieltage!$F$12,"")))))</f>
        <v>41646</v>
      </c>
      <c r="H9" t="str">
        <f>VLOOKUP(8,KKsued,3,FALSE)</f>
        <v>Di</v>
      </c>
      <c r="I9" s="19">
        <f>VLOOKUP(8,KKsued,4,FALSE)</f>
        <v>0.8125</v>
      </c>
    </row>
    <row r="10" spans="1:9" ht="12.75">
      <c r="A10" s="17">
        <f>IF(B10="Mo",Spieltage!$B$8,IF(B10="Di",Spieltage!$B$9,IF(B10="Mi",Spieltage!$B$10,IF(B10="Do",Spieltage!$B$11,IF(B10="Fr",Spieltage!$B$12,"")))))</f>
        <v>41528</v>
      </c>
      <c r="B10" t="str">
        <f>VLOOKUP(3,KKsued,3,FALSE)</f>
        <v>Mi</v>
      </c>
      <c r="C10" s="19">
        <f>VLOOKUP(3,KKsued,4,FALSE)</f>
        <v>0.7916666666666666</v>
      </c>
      <c r="D10" t="str">
        <f>VLOOKUP(3,KKsued,2,FALSE)</f>
        <v>TuS Eschringen</v>
      </c>
      <c r="E10" s="18" t="s">
        <v>35</v>
      </c>
      <c r="F10" t="str">
        <f>VLOOKUP(7,KKsued,2,FALSE)</f>
        <v>TV Brebach</v>
      </c>
      <c r="G10" s="17">
        <f>IF(H10="Mo",Spieltage!$F$8,IF(H10="Di",Spieltage!$F$9,IF(H10="Mi",Spieltage!$F$10,IF(H10="Do",Spieltage!$F$11,IF(H10="Fr",Spieltage!$F$12,"")))))</f>
        <v>41649</v>
      </c>
      <c r="H10" t="str">
        <f>VLOOKUP(7,KKsued,3,FALSE)</f>
        <v>Fr</v>
      </c>
      <c r="I10" s="19">
        <f>VLOOKUP(7,KKsued,4,FALSE)</f>
        <v>0.8125</v>
      </c>
    </row>
    <row r="11" spans="1:9" ht="12.75">
      <c r="A11" s="17">
        <f>IF(B11="Mo",Spieltage!$B$8,IF(B11="Di",Spieltage!$B$9,IF(B11="Mi",Spieltage!$B$10,IF(B11="Do",Spieltage!$B$11,IF(B11="Fr",Spieltage!$B$12,"")))))</f>
        <v>41530</v>
      </c>
      <c r="B11" t="str">
        <f>VLOOKUP(4,KKsued,3,FALSE)</f>
        <v>Fr</v>
      </c>
      <c r="C11" s="19">
        <f>VLOOKUP(4,KKsued,4,FALSE)</f>
        <v>0.8125</v>
      </c>
      <c r="D11" t="str">
        <f>VLOOKUP(4,KKsued,2,FALSE)</f>
        <v>TTC Püttlingen 3</v>
      </c>
      <c r="E11" s="18" t="s">
        <v>35</v>
      </c>
      <c r="F11" t="str">
        <f>VLOOKUP(6,KKsued,2,FALSE)</f>
        <v>TV Dorf im Warndt </v>
      </c>
      <c r="G11" s="17">
        <f>IF(H11="Mo",Spieltage!$F$8,IF(H11="Di",Spieltage!$F$9,IF(H11="Mi",Spieltage!$F$10,IF(H11="Do",Spieltage!$F$11,IF(H11="Fr",Spieltage!$F$12,"")))))</f>
        <v>41648</v>
      </c>
      <c r="H11" t="str">
        <f>VLOOKUP(6,KKsued,3,FALSE)</f>
        <v>Do</v>
      </c>
      <c r="I11" s="19">
        <f>VLOOKUP(6,KKsued,4,FALSE)</f>
        <v>0.7916666666666666</v>
      </c>
    </row>
    <row r="12" spans="1:9" ht="12.75">
      <c r="A12" s="17">
        <f>IF(B12="Mo",Spieltage!$B$8,IF(B12="Di",Spieltage!$B$9,IF(B12="Mi",Spieltage!$B$10,IF(B12="Do",Spieltage!$B$11,IF(B12="Fr",Spieltage!$B$12,"")))))</f>
      </c>
      <c r="B12" t="str">
        <f>VLOOKUP(10,KKsued,3,FALSE)</f>
        <v> </v>
      </c>
      <c r="C12" s="19" t="str">
        <f>VLOOKUP(10,KKsued,4,FALSE)</f>
        <v> </v>
      </c>
      <c r="D12" t="str">
        <f>VLOOKUP(10,KKsued,2,FALSE)</f>
        <v>spielfrei</v>
      </c>
      <c r="E12" s="18" t="s">
        <v>35</v>
      </c>
      <c r="F12" t="str">
        <f>VLOOKUP(5,KKsued,2,FALSE)</f>
        <v>ATSV Saarbrücken 2</v>
      </c>
      <c r="G12" s="17">
        <f>IF(H12="Mo",Spieltage!$F$8,IF(H12="Di",Spieltage!$F$9,IF(H12="Mi",Spieltage!$F$10,IF(H12="Do",Spieltage!$F$11,IF(H12="Fr",Spieltage!$F$12,"")))))</f>
        <v>41646</v>
      </c>
      <c r="H12" t="str">
        <f>VLOOKUP(5,KKsued,3,FALSE)</f>
        <v>Di</v>
      </c>
      <c r="I12" s="19">
        <f>VLOOKUP(5,KKsued,4,FALSE)</f>
        <v>0.8229166666666666</v>
      </c>
    </row>
    <row r="13" ht="12.75">
      <c r="E13" s="18"/>
    </row>
    <row r="14" spans="1:9" ht="12.75">
      <c r="A14" s="17">
        <f>IF(B14="Mo",Spieltage!$B$13,IF(B14="Di",Spieltage!$B$14,IF(B14="Mi",Spieltage!$B$15,IF(B14="Do",Spieltage!$B$16,IF(B14="Fr",Spieltage!$B$17,"")))))</f>
        <v>41534</v>
      </c>
      <c r="B14" t="str">
        <f>VLOOKUP(1,KKsued,3,FALSE)</f>
        <v>Di</v>
      </c>
      <c r="C14" s="19">
        <f>VLOOKUP(1,KKsued,4,FALSE)</f>
        <v>0.8125</v>
      </c>
      <c r="D14" t="str">
        <f>VLOOKUP(1,KKsued,2,FALSE)</f>
        <v>TTC Hostenbach </v>
      </c>
      <c r="E14" s="18" t="s">
        <v>35</v>
      </c>
      <c r="F14" t="str">
        <f>VLOOKUP(3,KKsued,2,FALSE)</f>
        <v>TuS Eschringen</v>
      </c>
      <c r="G14" s="17">
        <f>IF(H14="Mo",Spieltage!$F$13,IF(H14="Di",Spieltage!$F$14,IF(H14="Mi",Spieltage!$F$15,IF(H14="Do",Spieltage!$F$16,IF(H14="Fr",Spieltage!$F$17,"")))))</f>
        <v>41661</v>
      </c>
      <c r="H14" t="str">
        <f>VLOOKUP(3,KKsued,3,FALSE)</f>
        <v>Mi</v>
      </c>
      <c r="I14" s="19">
        <f>VLOOKUP(3,KKsued,4,FALSE)</f>
        <v>0.7916666666666666</v>
      </c>
    </row>
    <row r="15" spans="1:9" ht="12.75">
      <c r="A15" s="17">
        <f>IF(B15="Mo",Spieltage!$B$13,IF(B15="Di",Spieltage!$B$14,IF(B15="Mi",Spieltage!$B$15,IF(B15="Do",Spieltage!$B$16,IF(B15="Fr",Spieltage!$B$17,"")))))</f>
        <v>41536</v>
      </c>
      <c r="B15" t="str">
        <f>VLOOKUP(6,KKsued,3,FALSE)</f>
        <v>Do</v>
      </c>
      <c r="C15" s="19">
        <f>VLOOKUP(6,KKsued,4,FALSE)</f>
        <v>0.7916666666666666</v>
      </c>
      <c r="D15" t="str">
        <f>VLOOKUP(6,KKsued,2,FALSE)</f>
        <v>TV Dorf im Warndt </v>
      </c>
      <c r="E15" s="18" t="s">
        <v>35</v>
      </c>
      <c r="F15" t="str">
        <f>VLOOKUP(10,KKsued,2,FALSE)</f>
        <v>spielfrei</v>
      </c>
      <c r="G15" s="17">
        <f>IF(H15="Mo",Spieltage!$F$13,IF(H15="Di",Spieltage!$F$14,IF(H15="Mi",Spieltage!$F$15,IF(H15="Do",Spieltage!$F$16,IF(H15="Fr",Spieltage!$F$17,"")))))</f>
      </c>
      <c r="H15" t="str">
        <f>VLOOKUP(10,KKsued,3,FALSE)</f>
        <v> </v>
      </c>
      <c r="I15" s="19" t="str">
        <f>VLOOKUP(10,KKsued,4,FALSE)</f>
        <v> </v>
      </c>
    </row>
    <row r="16" spans="1:9" ht="12.75">
      <c r="A16" s="17">
        <f>IF(B16="Mo",Spieltage!$B$13,IF(B16="Di",Spieltage!$B$14,IF(B16="Mi",Spieltage!$B$15,IF(B16="Do",Spieltage!$B$16,IF(B16="Fr",Spieltage!$B$17,"")))))</f>
        <v>41537</v>
      </c>
      <c r="B16" t="str">
        <f>VLOOKUP(7,KKsued,3,FALSE)</f>
        <v>Fr</v>
      </c>
      <c r="C16" s="19">
        <f>VLOOKUP(7,KKsued,4,FALSE)</f>
        <v>0.8125</v>
      </c>
      <c r="D16" t="str">
        <f>VLOOKUP(7,KKsued,2,FALSE)</f>
        <v>TV Brebach</v>
      </c>
      <c r="E16" s="18" t="s">
        <v>35</v>
      </c>
      <c r="F16" t="str">
        <f>VLOOKUP(4,KKsued,2,FALSE)</f>
        <v>TTC Püttlingen 3</v>
      </c>
      <c r="G16" s="17">
        <f>IF(H16="Mo",Spieltage!$F$13,IF(H16="Di",Spieltage!$F$14,IF(H16="Mi",Spieltage!$F$15,IF(H16="Do",Spieltage!$F$16,IF(H16="Fr",Spieltage!$F$17,"")))))</f>
        <v>41663</v>
      </c>
      <c r="H16" t="str">
        <f>VLOOKUP(4,KKsued,3,FALSE)</f>
        <v>Fr</v>
      </c>
      <c r="I16" s="19">
        <f>VLOOKUP(4,KKsued,4,FALSE)</f>
        <v>0.8125</v>
      </c>
    </row>
    <row r="17" spans="1:9" ht="12.75">
      <c r="A17" s="17">
        <f>IF(B17="Mo",Spieltage!$B$13,IF(B17="Di",Spieltage!$B$14,IF(B17="Mi",Spieltage!$B$15,IF(B17="Do",Spieltage!$B$16,IF(B17="Fr",Spieltage!$B$17,"")))))</f>
        <v>41534</v>
      </c>
      <c r="B17" t="str">
        <f>VLOOKUP(8,KKsued,3,FALSE)</f>
        <v>Di</v>
      </c>
      <c r="C17" s="19">
        <f>VLOOKUP(8,KKsued,4,FALSE)</f>
        <v>0.8125</v>
      </c>
      <c r="D17" t="str">
        <f>VLOOKUP(8,KKsued,2,FALSE)</f>
        <v>TTC Köllerbach 4</v>
      </c>
      <c r="E17" s="18" t="s">
        <v>35</v>
      </c>
      <c r="F17" t="str">
        <f>VLOOKUP(5,KKsued,2,FALSE)</f>
        <v>ATSV Saarbrücken 2</v>
      </c>
      <c r="G17" s="17">
        <f>IF(H17="Mo",Spieltage!$F$13,IF(H17="Di",Spieltage!$F$14,IF(H17="Mi",Spieltage!$F$15,IF(H17="Do",Spieltage!$F$16,IF(H17="Fr",Spieltage!$F$17,"")))))</f>
        <v>41660</v>
      </c>
      <c r="H17" t="str">
        <f>VLOOKUP(5,KKsued,3,FALSE)</f>
        <v>Di</v>
      </c>
      <c r="I17" s="19">
        <f>VLOOKUP(5,KKsued,4,FALSE)</f>
        <v>0.8229166666666666</v>
      </c>
    </row>
    <row r="18" spans="1:9" ht="12.75">
      <c r="A18" s="17">
        <f>IF(B18="Mo",Spieltage!$B$13,IF(B18="Di",Spieltage!$B$14,IF(B18="Mi",Spieltage!$B$15,IF(B18="Do",Spieltage!$B$16,IF(B18="Fr",Spieltage!$B$17,"")))))</f>
        <v>41536</v>
      </c>
      <c r="B18" t="str">
        <f>VLOOKUP(9,KKsued,3,FALSE)</f>
        <v>Do</v>
      </c>
      <c r="C18" s="19">
        <f>VLOOKUP(9,KKsued,4,FALSE)</f>
        <v>0.8125</v>
      </c>
      <c r="D18" t="str">
        <f>VLOOKUP(9,KKsued,2,FALSE)</f>
        <v>TTC Hostenbach 2</v>
      </c>
      <c r="E18" s="18" t="s">
        <v>35</v>
      </c>
      <c r="F18" t="str">
        <f>VLOOKUP(2,KKsued,2,FALSE)</f>
        <v>SV Sitterswald </v>
      </c>
      <c r="G18" s="17">
        <f>IF(H18="Mo",Spieltage!$F$13,IF(H18="Di",Spieltage!$F$14,IF(H18="Mi",Spieltage!$F$15,IF(H18="Do",Spieltage!$F$16,IF(H18="Fr",Spieltage!$F$17,"")))))</f>
        <v>41662</v>
      </c>
      <c r="H18" t="str">
        <f>VLOOKUP(2,KKsued,3,FALSE)</f>
        <v>Do</v>
      </c>
      <c r="I18" s="19">
        <f>VLOOKUP(2,KKsued,4,FALSE)</f>
        <v>0.8333333333333334</v>
      </c>
    </row>
    <row r="20" spans="1:9" ht="12.75">
      <c r="A20" s="17">
        <f>IF(B20="Mo",Spieltage!$B$18,IF(B20="Di",Spieltage!$B$19,IF(B20="Mi",Spieltage!$B$20,IF(B20="Do",Spieltage!$B$21,IF(B20="Fr",Spieltage!$B$22,"")))))</f>
        <v>41543</v>
      </c>
      <c r="B20" t="str">
        <f>VLOOKUP(2,KKsued,3,FALSE)</f>
        <v>Do</v>
      </c>
      <c r="C20" s="19">
        <f>VLOOKUP(2,KKsued,4,FALSE)</f>
        <v>0.8333333333333334</v>
      </c>
      <c r="D20" t="str">
        <f>VLOOKUP(2,KKsued,2,FALSE)</f>
        <v>SV Sitterswald </v>
      </c>
      <c r="E20" s="18" t="s">
        <v>35</v>
      </c>
      <c r="F20" t="str">
        <f>VLOOKUP(1,KKsued,2,FALSE)</f>
        <v>TTC Hostenbach </v>
      </c>
      <c r="G20" s="17">
        <f>IF(H20="Mo",Spieltage!$F$18,IF(H20="Di",Spieltage!$F$19,IF(H20="Mi",Spieltage!$F$20,IF(H20="Do",Spieltage!$F$21,IF(H20="Fr",Spieltage!$F$22,"")))))</f>
        <v>41667</v>
      </c>
      <c r="H20" t="str">
        <f>VLOOKUP(1,KKsued,3,FALSE)</f>
        <v>Di</v>
      </c>
      <c r="I20" s="19">
        <f>VLOOKUP(1,KKsued,4,FALSE)</f>
        <v>0.8125</v>
      </c>
    </row>
    <row r="21" spans="1:9" ht="12.75">
      <c r="A21" s="17">
        <f>IF(B21="Mo",Spieltage!$B$18,IF(B21="Di",Spieltage!$B$19,IF(B21="Mi",Spieltage!$B$20,IF(B21="Do",Spieltage!$B$21,IF(B21="Fr",Spieltage!$B$22,"")))))</f>
        <v>41542</v>
      </c>
      <c r="B21" t="str">
        <f>VLOOKUP(3,KKsued,3,FALSE)</f>
        <v>Mi</v>
      </c>
      <c r="C21" s="19">
        <f>VLOOKUP(3,KKsued,4,FALSE)</f>
        <v>0.7916666666666666</v>
      </c>
      <c r="D21" t="str">
        <f>VLOOKUP(3,KKsued,2,FALSE)</f>
        <v>TuS Eschringen</v>
      </c>
      <c r="E21" s="18" t="s">
        <v>35</v>
      </c>
      <c r="F21" t="str">
        <f>VLOOKUP(9,KKsued,2,FALSE)</f>
        <v>TTC Hostenbach 2</v>
      </c>
      <c r="G21" s="17">
        <f>IF(H21="Mo",Spieltage!$F$18,IF(H21="Di",Spieltage!$F$19,IF(H21="Mi",Spieltage!$F$20,IF(H21="Do",Spieltage!$F$21,IF(H21="Fr",Spieltage!$F$22,"")))))</f>
        <v>41669</v>
      </c>
      <c r="H21" t="str">
        <f>VLOOKUP(9,KKsued,3,FALSE)</f>
        <v>Do</v>
      </c>
      <c r="I21" s="19">
        <f>VLOOKUP(9,KKsued,4,FALSE)</f>
        <v>0.8125</v>
      </c>
    </row>
    <row r="22" spans="1:9" ht="12.75">
      <c r="A22" s="17">
        <f>IF(B22="Mo",Spieltage!$B$18,IF(B22="Di",Spieltage!$B$19,IF(B22="Mi",Spieltage!$B$20,IF(B22="Do",Spieltage!$B$21,IF(B22="Fr",Spieltage!$B$22,"")))))</f>
        <v>41544</v>
      </c>
      <c r="B22" t="str">
        <f>VLOOKUP(4,KKsued,3,FALSE)</f>
        <v>Fr</v>
      </c>
      <c r="C22" s="19">
        <f>VLOOKUP(4,KKsued,4,FALSE)</f>
        <v>0.8125</v>
      </c>
      <c r="D22" t="str">
        <f>VLOOKUP(4,KKsued,2,FALSE)</f>
        <v>TTC Püttlingen 3</v>
      </c>
      <c r="E22" s="18" t="s">
        <v>35</v>
      </c>
      <c r="F22" t="str">
        <f>VLOOKUP(8,KKsued,2,FALSE)</f>
        <v>TTC Köllerbach 4</v>
      </c>
      <c r="G22" s="17">
        <f>IF(H22="Mo",Spieltage!$F$18,IF(H22="Di",Spieltage!$F$19,IF(H22="Mi",Spieltage!$F$20,IF(H22="Do",Spieltage!$F$21,IF(H22="Fr",Spieltage!$F$22,"")))))</f>
        <v>41667</v>
      </c>
      <c r="H22" t="str">
        <f>VLOOKUP(8,KKsued,3,FALSE)</f>
        <v>Di</v>
      </c>
      <c r="I22" s="19">
        <f>VLOOKUP(8,KKsued,4,FALSE)</f>
        <v>0.8125</v>
      </c>
    </row>
    <row r="23" spans="1:9" ht="12.75">
      <c r="A23" s="17">
        <f>IF(B23="Mo",Spieltage!$B$18,IF(B23="Di",Spieltage!$B$19,IF(B23="Mi",Spieltage!$B$20,IF(B23="Do",Spieltage!$B$21,IF(B23="Fr",Spieltage!$B$22,"")))))</f>
        <v>41541</v>
      </c>
      <c r="B23" t="str">
        <f>VLOOKUP(5,KKsued,3,FALSE)</f>
        <v>Di</v>
      </c>
      <c r="C23" s="19">
        <f>VLOOKUP(5,KKsued,4,FALSE)</f>
        <v>0.8229166666666666</v>
      </c>
      <c r="D23" t="str">
        <f>VLOOKUP(5,KKsued,2,FALSE)</f>
        <v>ATSV Saarbrücken 2</v>
      </c>
      <c r="E23" s="18" t="s">
        <v>35</v>
      </c>
      <c r="F23" t="str">
        <f>VLOOKUP(6,KKsued,2,FALSE)</f>
        <v>TV Dorf im Warndt </v>
      </c>
      <c r="G23" s="17">
        <f>IF(H23="Mo",Spieltage!$F$18,IF(H23="Di",Spieltage!$F$19,IF(H23="Mi",Spieltage!$F$20,IF(H23="Do",Spieltage!$F$21,IF(H23="Fr",Spieltage!$F$22,"")))))</f>
        <v>41669</v>
      </c>
      <c r="H23" t="str">
        <f>VLOOKUP(6,KKsued,3,FALSE)</f>
        <v>Do</v>
      </c>
      <c r="I23" s="19">
        <f>VLOOKUP(6,KKsued,4,FALSE)</f>
        <v>0.7916666666666666</v>
      </c>
    </row>
    <row r="24" spans="1:9" ht="12.75">
      <c r="A24" s="17">
        <f>IF(B24="Mo",Spieltage!$B$18,IF(B24="Di",Spieltage!$B$19,IF(B24="Mi",Spieltage!$B$20,IF(B24="Do",Spieltage!$B$21,IF(B24="Fr",Spieltage!$B$22,"")))))</f>
      </c>
      <c r="B24" t="str">
        <f>VLOOKUP(10,KKsued,3,FALSE)</f>
        <v> </v>
      </c>
      <c r="C24" s="19" t="str">
        <f>VLOOKUP(10,KKsued,4,FALSE)</f>
        <v> </v>
      </c>
      <c r="D24" t="str">
        <f>VLOOKUP(10,KKsued,2,FALSE)</f>
        <v>spielfrei</v>
      </c>
      <c r="E24" s="18" t="s">
        <v>35</v>
      </c>
      <c r="F24" t="str">
        <f>VLOOKUP(7,KKsued,2,FALSE)</f>
        <v>TV Brebach</v>
      </c>
      <c r="G24" s="17">
        <f>IF(H24="Mo",Spieltage!$F$18,IF(H24="Di",Spieltage!$F$19,IF(H24="Mi",Spieltage!$F$20,IF(H24="Do",Spieltage!$F$21,IF(H24="Fr",Spieltage!$F$22,"")))))</f>
        <v>41670</v>
      </c>
      <c r="H24" t="str">
        <f>VLOOKUP(7,KKsued,3,FALSE)</f>
        <v>Fr</v>
      </c>
      <c r="I24" s="19">
        <f>VLOOKUP(7,KKsued,4,FALSE)</f>
        <v>0.8125</v>
      </c>
    </row>
    <row r="26" spans="1:9" ht="12.75">
      <c r="A26" s="17">
        <f>IF(B26="Mo",Spieltage!$B$23,IF(B26="Di",Spieltage!$B$24,IF(B26="Mi",Spieltage!$B$25,IF(B26="Do",Spieltage!$B$26,IF(B26="Fr",Spieltage!$B$27,"")))))</f>
        <v>41555</v>
      </c>
      <c r="B26" t="str">
        <f>VLOOKUP(1,KKsued,3,FALSE)</f>
        <v>Di</v>
      </c>
      <c r="C26" s="19">
        <f>VLOOKUP(1,KKsued,4,FALSE)</f>
        <v>0.8125</v>
      </c>
      <c r="D26" t="str">
        <f>VLOOKUP(1,KKsued,2,FALSE)</f>
        <v>TTC Hostenbach </v>
      </c>
      <c r="E26" s="18" t="s">
        <v>35</v>
      </c>
      <c r="F26" t="str">
        <f>VLOOKUP(6,KKsued,2,FALSE)</f>
        <v>TV Dorf im Warndt </v>
      </c>
      <c r="G26" s="17">
        <f>IF(H26="Mo",Spieltage!$F$23,IF(H26="Di",Spieltage!$F$24,IF(H26="Mi",Spieltage!$F$25,IF(H26="Do",Spieltage!$F$26,IF(H26="Fr",Spieltage!$F$27,"")))))</f>
        <v>41676</v>
      </c>
      <c r="H26" t="str">
        <f>VLOOKUP(6,KKsued,3,FALSE)</f>
        <v>Do</v>
      </c>
      <c r="I26" s="19">
        <f>VLOOKUP(6,KKsued,4,FALSE)</f>
        <v>0.7916666666666666</v>
      </c>
    </row>
    <row r="27" spans="1:9" ht="12.75">
      <c r="A27" s="17">
        <f>IF(B27="Mo",Spieltage!$B$23,IF(B27="Di",Spieltage!$B$24,IF(B27="Mi",Spieltage!$B$25,IF(B27="Do",Spieltage!$B$26,IF(B27="Fr",Spieltage!$B$27,"")))))</f>
        <v>41557</v>
      </c>
      <c r="B27" t="str">
        <f>VLOOKUP(2,KKsued,3,FALSE)</f>
        <v>Do</v>
      </c>
      <c r="C27" s="19">
        <f>VLOOKUP(2,KKsued,4,FALSE)</f>
        <v>0.8333333333333334</v>
      </c>
      <c r="D27" t="str">
        <f>VLOOKUP(2,KKsued,2,FALSE)</f>
        <v>SV Sitterswald </v>
      </c>
      <c r="E27" s="18" t="s">
        <v>35</v>
      </c>
      <c r="F27" t="str">
        <f>VLOOKUP(3,KKsued,2,FALSE)</f>
        <v>TuS Eschringen</v>
      </c>
      <c r="G27" s="17">
        <f>IF(H27="Mo",Spieltage!$F$23,IF(H27="Di",Spieltage!$F$24,IF(H27="Mi",Spieltage!$F$25,IF(H27="Do",Spieltage!$F$26,IF(H27="Fr",Spieltage!$F$27,"")))))</f>
        <v>41675</v>
      </c>
      <c r="H27" t="str">
        <f>VLOOKUP(3,KKsued,3,FALSE)</f>
        <v>Mi</v>
      </c>
      <c r="I27" s="19">
        <f>VLOOKUP(3,KKsued,4,FALSE)</f>
        <v>0.7916666666666666</v>
      </c>
    </row>
    <row r="28" spans="1:9" ht="12.75">
      <c r="A28" s="17">
        <f>IF(B28="Mo",Spieltage!$B$23,IF(B28="Di",Spieltage!$B$24,IF(B28="Mi",Spieltage!$B$25,IF(B28="Do",Spieltage!$B$26,IF(B28="Fr",Spieltage!$B$27,"")))))</f>
        <v>41558</v>
      </c>
      <c r="B28" t="str">
        <f>VLOOKUP(7,KKsued,3,FALSE)</f>
        <v>Fr</v>
      </c>
      <c r="C28" s="19">
        <f>VLOOKUP(7,KKsued,4,FALSE)</f>
        <v>0.8125</v>
      </c>
      <c r="D28" t="str">
        <f>VLOOKUP(7,KKsued,2,FALSE)</f>
        <v>TV Brebach</v>
      </c>
      <c r="E28" s="18" t="s">
        <v>35</v>
      </c>
      <c r="F28" t="str">
        <f>VLOOKUP(5,KKsued,2,FALSE)</f>
        <v>ATSV Saarbrücken 2</v>
      </c>
      <c r="G28" s="17">
        <f>IF(H28="Mo",Spieltage!$F$23,IF(H28="Di",Spieltage!$F$24,IF(H28="Mi",Spieltage!$F$25,IF(H28="Do",Spieltage!$F$26,IF(H28="Fr",Spieltage!$F$27,"")))))</f>
        <v>41674</v>
      </c>
      <c r="H28" t="str">
        <f>VLOOKUP(5,KKsued,3,FALSE)</f>
        <v>Di</v>
      </c>
      <c r="I28" s="19">
        <f>VLOOKUP(5,KKsued,4,FALSE)</f>
        <v>0.8229166666666666</v>
      </c>
    </row>
    <row r="29" spans="1:9" ht="12.75">
      <c r="A29" s="17">
        <f>IF(B29="Mo",Spieltage!$B$23,IF(B29="Di",Spieltage!$B$24,IF(B29="Mi",Spieltage!$B$25,IF(B29="Do",Spieltage!$B$26,IF(B29="Fr",Spieltage!$B$27,"")))))</f>
        <v>41555</v>
      </c>
      <c r="B29" t="str">
        <f>VLOOKUP(8,KKsued,3,FALSE)</f>
        <v>Di</v>
      </c>
      <c r="C29" s="19">
        <f>VLOOKUP(8,KKsued,4,FALSE)</f>
        <v>0.8125</v>
      </c>
      <c r="D29" t="str">
        <f>VLOOKUP(8,KKsued,2,FALSE)</f>
        <v>TTC Köllerbach 4</v>
      </c>
      <c r="E29" s="18" t="s">
        <v>35</v>
      </c>
      <c r="F29" t="str">
        <f>VLOOKUP(10,KKsued,2,FALSE)</f>
        <v>spielfrei</v>
      </c>
      <c r="G29" s="17">
        <f>IF(H29="Mo",Spieltage!$F$23,IF(H29="Di",Spieltage!$F$24,IF(H29="Mi",Spieltage!$F$25,IF(H29="Do",Spieltage!$F$26,IF(H29="Fr",Spieltage!$F$27,"")))))</f>
      </c>
      <c r="H29" t="str">
        <f>VLOOKUP(10,KKsued,3,FALSE)</f>
        <v> </v>
      </c>
      <c r="I29" s="19" t="str">
        <f>VLOOKUP(10,KKsued,4,FALSE)</f>
        <v> </v>
      </c>
    </row>
    <row r="30" spans="1:9" ht="12.75">
      <c r="A30" s="17">
        <f>IF(B30="Mo",Spieltage!$B$23,IF(B30="Di",Spieltage!$B$24,IF(B30="Mi",Spieltage!$B$25,IF(B30="Do",Spieltage!$B$26,IF(B30="Fr",Spieltage!$B$27,"")))))</f>
        <v>41557</v>
      </c>
      <c r="B30" t="str">
        <f>VLOOKUP(9,KKsued,3,FALSE)</f>
        <v>Do</v>
      </c>
      <c r="C30" s="19">
        <f>VLOOKUP(9,KKsued,4,FALSE)</f>
        <v>0.8125</v>
      </c>
      <c r="D30" t="str">
        <f>VLOOKUP(9,KKsued,2,FALSE)</f>
        <v>TTC Hostenbach 2</v>
      </c>
      <c r="E30" s="18" t="s">
        <v>35</v>
      </c>
      <c r="F30" t="str">
        <f>VLOOKUP(4,KKsued,2,FALSE)</f>
        <v>TTC Püttlingen 3</v>
      </c>
      <c r="G30" s="17">
        <f>IF(H30="Mo",Spieltage!$F$23,IF(H30="Di",Spieltage!$F$24,IF(H30="Mi",Spieltage!$F$25,IF(H30="Do",Spieltage!$F$26,IF(H30="Fr",Spieltage!$F$27,"")))))</f>
        <v>41677</v>
      </c>
      <c r="H30" t="str">
        <f>VLOOKUP(4,KKsued,3,FALSE)</f>
        <v>Fr</v>
      </c>
      <c r="I30" s="19">
        <f>VLOOKUP(4,KKsued,4,FALSE)</f>
        <v>0.8125</v>
      </c>
    </row>
    <row r="32" spans="1:9" ht="12.75">
      <c r="A32" s="17">
        <f>IF(B32="Mo",Spieltage!$B$28,IF(B32="Di",Spieltage!$B$29,IF(B32="Mi",Spieltage!$B$30,IF(B32="Do",Spieltage!$B$31,IF(B32="Fr",Spieltage!$B$32,"")))))</f>
        <v>41563</v>
      </c>
      <c r="B32" t="str">
        <f>VLOOKUP(3,KKsued,3,FALSE)</f>
        <v>Mi</v>
      </c>
      <c r="C32" s="19">
        <f>VLOOKUP(3,KKsued,4,FALSE)</f>
        <v>0.7916666666666666</v>
      </c>
      <c r="D32" t="str">
        <f>VLOOKUP(3,KKsued,2,FALSE)</f>
        <v>TuS Eschringen</v>
      </c>
      <c r="E32" s="18" t="s">
        <v>35</v>
      </c>
      <c r="F32" t="str">
        <f>VLOOKUP(8,KKsued,2,FALSE)</f>
        <v>TTC Köllerbach 4</v>
      </c>
      <c r="G32" s="17">
        <f>IF(H32="Mo",Spieltage!$F$28,IF(H32="Di",Spieltage!$F$29,IF(H32="Mi",Spieltage!$F$30,IF(H32="Do",Spieltage!$F$31,IF(H32="Fr",Spieltage!$F$32,"")))))</f>
        <v>41681</v>
      </c>
      <c r="H32" t="str">
        <f>VLOOKUP(8,KKsued,3,FALSE)</f>
        <v>Di</v>
      </c>
      <c r="I32" s="19">
        <f>VLOOKUP(8,KKsued,4,FALSE)</f>
        <v>0.8125</v>
      </c>
    </row>
    <row r="33" spans="1:9" ht="12.75">
      <c r="A33" s="17">
        <f>IF(B33="Mo",Spieltage!$B$28,IF(B33="Di",Spieltage!$B$29,IF(B33="Mi",Spieltage!$B$30,IF(B33="Do",Spieltage!$B$31,IF(B33="Fr",Spieltage!$B$32,"")))))</f>
        <v>41565</v>
      </c>
      <c r="B33" t="str">
        <f>VLOOKUP(4,KKsued,3,FALSE)</f>
        <v>Fr</v>
      </c>
      <c r="C33" s="19">
        <f>VLOOKUP(4,KKsued,4,FALSE)</f>
        <v>0.8125</v>
      </c>
      <c r="D33" t="str">
        <f>VLOOKUP(4,KKsued,2,FALSE)</f>
        <v>TTC Püttlingen 3</v>
      </c>
      <c r="E33" s="18" t="s">
        <v>35</v>
      </c>
      <c r="F33" t="str">
        <f>VLOOKUP(2,KKsued,2,FALSE)</f>
        <v>SV Sitterswald </v>
      </c>
      <c r="G33" s="17">
        <f>IF(H33="Mo",Spieltage!$F$28,IF(H33="Di",Spieltage!$F$29,IF(H33="Mi",Spieltage!$F$30,IF(H33="Do",Spieltage!$F$31,IF(H33="Fr",Spieltage!$F$32,"")))))</f>
        <v>41683</v>
      </c>
      <c r="H33" t="str">
        <f>VLOOKUP(2,KKsued,3,FALSE)</f>
        <v>Do</v>
      </c>
      <c r="I33" s="19">
        <f>VLOOKUP(2,KKsued,4,FALSE)</f>
        <v>0.8333333333333334</v>
      </c>
    </row>
    <row r="34" spans="1:9" ht="12.75">
      <c r="A34" s="17">
        <f>IF(B34="Mo",Spieltage!$B$28,IF(B34="Di",Spieltage!$B$29,IF(B34="Mi",Spieltage!$B$30,IF(B34="Do",Spieltage!$B$31,IF(B34="Fr",Spieltage!$B$32,"")))))</f>
        <v>41562</v>
      </c>
      <c r="B34" t="str">
        <f>VLOOKUP(5,KKsued,3,FALSE)</f>
        <v>Di</v>
      </c>
      <c r="C34" s="19">
        <f>VLOOKUP(5,KKsued,4,FALSE)</f>
        <v>0.8229166666666666</v>
      </c>
      <c r="D34" t="str">
        <f>VLOOKUP(5,KKsued,2,FALSE)</f>
        <v>ATSV Saarbrücken 2</v>
      </c>
      <c r="E34" s="18" t="s">
        <v>35</v>
      </c>
      <c r="F34" t="str">
        <f>VLOOKUP(9,KKsued,2,FALSE)</f>
        <v>TTC Hostenbach 2</v>
      </c>
      <c r="G34" s="17">
        <f>IF(H34="Mo",Spieltage!$F$28,IF(H34="Di",Spieltage!$F$29,IF(H34="Mi",Spieltage!$F$30,IF(H34="Do",Spieltage!$F$31,IF(H34="Fr",Spieltage!$F$32,"")))))</f>
        <v>41683</v>
      </c>
      <c r="H34" t="str">
        <f>VLOOKUP(9,KKsued,3,FALSE)</f>
        <v>Do</v>
      </c>
      <c r="I34" s="19">
        <f>VLOOKUP(9,KKsued,4,FALSE)</f>
        <v>0.8125</v>
      </c>
    </row>
    <row r="35" spans="1:9" ht="12.75">
      <c r="A35" s="17">
        <f>IF(B35="Mo",Spieltage!$B$28,IF(B35="Di",Spieltage!$B$29,IF(B35="Mi",Spieltage!$B$30,IF(B35="Do",Spieltage!$B$31,IF(B35="Fr",Spieltage!$B$32,"")))))</f>
        <v>41564</v>
      </c>
      <c r="B35" t="str">
        <f>VLOOKUP(6,KKsued,3,FALSE)</f>
        <v>Do</v>
      </c>
      <c r="C35" s="19">
        <f>VLOOKUP(6,KKsued,4,FALSE)</f>
        <v>0.7916666666666666</v>
      </c>
      <c r="D35" t="str">
        <f>VLOOKUP(6,KKsued,2,FALSE)</f>
        <v>TV Dorf im Warndt </v>
      </c>
      <c r="E35" s="18" t="s">
        <v>35</v>
      </c>
      <c r="F35" t="str">
        <f>VLOOKUP(7,KKsued,2,FALSE)</f>
        <v>TV Brebach</v>
      </c>
      <c r="G35" s="17">
        <f>IF(H35="Mo",Spieltage!$F$28,IF(H35="Di",Spieltage!$F$29,IF(H35="Mi",Spieltage!$F$30,IF(H35="Do",Spieltage!$F$31,IF(H35="Fr",Spieltage!$F$32,"")))))</f>
        <v>41684</v>
      </c>
      <c r="H35" t="str">
        <f>VLOOKUP(7,KKsued,3,FALSE)</f>
        <v>Fr</v>
      </c>
      <c r="I35" s="19">
        <f>VLOOKUP(7,KKsued,4,FALSE)</f>
        <v>0.8125</v>
      </c>
    </row>
    <row r="36" spans="1:9" ht="12.75">
      <c r="A36" s="17">
        <f>IF(B36="Mo",Spieltage!$B$28,IF(B36="Di",Spieltage!$B$29,IF(B36="Mi",Spieltage!$B$30,IF(B36="Do",Spieltage!$B$31,IF(B36="Fr",Spieltage!$B$32,"")))))</f>
      </c>
      <c r="B36" t="str">
        <f>VLOOKUP(10,KKsued,3,FALSE)</f>
        <v> </v>
      </c>
      <c r="C36" s="19" t="str">
        <f>VLOOKUP(10,KKsued,4,FALSE)</f>
        <v> </v>
      </c>
      <c r="D36" t="str">
        <f>VLOOKUP(10,KKsued,2,FALSE)</f>
        <v>spielfrei</v>
      </c>
      <c r="E36" s="18" t="s">
        <v>35</v>
      </c>
      <c r="F36" t="str">
        <f>VLOOKUP(1,KKsued,2,FALSE)</f>
        <v>TTC Hostenbach </v>
      </c>
      <c r="G36" s="17">
        <f>IF(H36="Mo",Spieltage!$F$28,IF(H36="Di",Spieltage!$F$29,IF(H36="Mi",Spieltage!$F$30,IF(H36="Do",Spieltage!$F$31,IF(H36="Fr",Spieltage!$F$32,"")))))</f>
        <v>41681</v>
      </c>
      <c r="H36" t="str">
        <f>VLOOKUP(1,KKsued,3,FALSE)</f>
        <v>Di</v>
      </c>
      <c r="I36" s="19">
        <f>VLOOKUP(1,KKsued,4,FALSE)</f>
        <v>0.8125</v>
      </c>
    </row>
    <row r="38" spans="1:9" ht="12.75">
      <c r="A38" s="17">
        <f>IF(B38="Mo",Spieltage!$B$33,IF(B38="Di",Spieltage!$B$34,IF(B38="Mi",Spieltage!$B$35,IF(B38="Do",Spieltage!$B$36,IF(B38="Fr",Spieltage!$B$37,"")))))</f>
        <v>41583</v>
      </c>
      <c r="B38" t="str">
        <f>VLOOKUP(1,KKsued,3,FALSE)</f>
        <v>Di</v>
      </c>
      <c r="C38" s="19">
        <f>VLOOKUP(1,KKsued,4,FALSE)</f>
        <v>0.8125</v>
      </c>
      <c r="D38" t="str">
        <f>VLOOKUP(1,KKsued,2,FALSE)</f>
        <v>TTC Hostenbach </v>
      </c>
      <c r="E38" s="18" t="s">
        <v>35</v>
      </c>
      <c r="F38" t="str">
        <f>VLOOKUP(5,KKsued,2,FALSE)</f>
        <v>ATSV Saarbrücken 2</v>
      </c>
      <c r="G38" s="17">
        <f>IF(H38="Mo",Spieltage!$F$33,IF(H38="Di",Spieltage!$F$34,IF(H38="Mi",Spieltage!$F$35,IF(H38="Do",Spieltage!$F$36,IF(H38="Fr",Spieltage!$F$37,"")))))</f>
        <v>41688</v>
      </c>
      <c r="H38" t="str">
        <f>VLOOKUP(5,KKsued,3,FALSE)</f>
        <v>Di</v>
      </c>
      <c r="I38" s="19">
        <f>VLOOKUP(5,KKsued,4,FALSE)</f>
        <v>0.8229166666666666</v>
      </c>
    </row>
    <row r="39" spans="1:9" ht="12.75">
      <c r="A39" s="17">
        <f>IF(B39="Mo",Spieltage!$B$33,IF(B39="Di",Spieltage!$B$34,IF(B39="Mi",Spieltage!$B$35,IF(B39="Do",Spieltage!$B$36,IF(B39="Fr",Spieltage!$B$37,"")))))</f>
        <v>41585</v>
      </c>
      <c r="B39" t="str">
        <f>VLOOKUP(2,KKsued,3,FALSE)</f>
        <v>Do</v>
      </c>
      <c r="C39" s="19">
        <f>VLOOKUP(2,KKsued,4,FALSE)</f>
        <v>0.8333333333333334</v>
      </c>
      <c r="D39" t="str">
        <f>VLOOKUP(2,KKsued,2,FALSE)</f>
        <v>SV Sitterswald </v>
      </c>
      <c r="E39" s="18" t="s">
        <v>35</v>
      </c>
      <c r="F39" t="str">
        <f>VLOOKUP(10,KKsued,2,FALSE)</f>
        <v>spielfrei</v>
      </c>
      <c r="G39" s="17">
        <f>IF(H39="Mo",Spieltage!$F$33,IF(H39="Di",Spieltage!$F$34,IF(H39="Mi",Spieltage!$F$35,IF(H39="Do",Spieltage!$F$36,IF(H39="Fr",Spieltage!$F$37,"")))))</f>
      </c>
      <c r="H39" t="str">
        <f>VLOOKUP(10,KKsued,3,FALSE)</f>
        <v> </v>
      </c>
      <c r="I39" s="19" t="str">
        <f>VLOOKUP(10,KKsued,4,FALSE)</f>
        <v> </v>
      </c>
    </row>
    <row r="40" spans="1:9" ht="12.75">
      <c r="A40" s="17">
        <f>IF(B40="Mo",Spieltage!$B$33,IF(B40="Di",Spieltage!$B$34,IF(B40="Mi",Spieltage!$B$35,IF(B40="Do",Spieltage!$B$36,IF(B40="Fr",Spieltage!$B$37,"")))))</f>
        <v>41584</v>
      </c>
      <c r="B40" t="str">
        <f>VLOOKUP(3,KKsued,3,FALSE)</f>
        <v>Mi</v>
      </c>
      <c r="C40" s="19">
        <f>VLOOKUP(3,KKsued,4,FALSE)</f>
        <v>0.7916666666666666</v>
      </c>
      <c r="D40" t="str">
        <f>VLOOKUP(3,KKsued,2,FALSE)</f>
        <v>TuS Eschringen</v>
      </c>
      <c r="E40" s="18" t="s">
        <v>35</v>
      </c>
      <c r="F40" t="str">
        <f>VLOOKUP(4,KKsued,2,FALSE)</f>
        <v>TTC Püttlingen 3</v>
      </c>
      <c r="G40" s="17">
        <f>IF(H40="Mo",Spieltage!$F$33,IF(H40="Di",Spieltage!$F$34,IF(H40="Mi",Spieltage!$F$35,IF(H40="Do",Spieltage!$F$36,IF(H40="Fr",Spieltage!$F$37,"")))))</f>
        <v>41691</v>
      </c>
      <c r="H40" t="str">
        <f>VLOOKUP(4,KKsued,3,FALSE)</f>
        <v>Fr</v>
      </c>
      <c r="I40" s="19">
        <f>VLOOKUP(4,KKsued,4,FALSE)</f>
        <v>0.8125</v>
      </c>
    </row>
    <row r="41" spans="1:9" ht="12.75">
      <c r="A41" s="17">
        <f>IF(B41="Mo",Spieltage!$B$33,IF(B41="Di",Spieltage!$B$34,IF(B41="Mi",Spieltage!$B$35,IF(B41="Do",Spieltage!$B$36,IF(B41="Fr",Spieltage!$B$37,"")))))</f>
        <v>41583</v>
      </c>
      <c r="B41" t="str">
        <f>VLOOKUP(8,KKsued,3,FALSE)</f>
        <v>Di</v>
      </c>
      <c r="C41" s="19">
        <f>VLOOKUP(8,KKsued,4,FALSE)</f>
        <v>0.8125</v>
      </c>
      <c r="D41" t="str">
        <f>VLOOKUP(8,KKsued,2,FALSE)</f>
        <v>TTC Köllerbach 4</v>
      </c>
      <c r="E41" s="18" t="s">
        <v>35</v>
      </c>
      <c r="F41" t="str">
        <f>VLOOKUP(7,KKsued,2,FALSE)</f>
        <v>TV Brebach</v>
      </c>
      <c r="G41" s="17">
        <f>IF(H41="Mo",Spieltage!$F$33,IF(H41="Di",Spieltage!$F$34,IF(H41="Mi",Spieltage!$F$35,IF(H41="Do",Spieltage!$F$36,IF(H41="Fr",Spieltage!$F$37,"")))))</f>
        <v>41691</v>
      </c>
      <c r="H41" t="str">
        <f>VLOOKUP(7,KKsued,3,FALSE)</f>
        <v>Fr</v>
      </c>
      <c r="I41" s="19">
        <f>VLOOKUP(7,KKsued,4,FALSE)</f>
        <v>0.8125</v>
      </c>
    </row>
    <row r="42" spans="1:9" ht="12.75">
      <c r="A42" s="17">
        <f>IF(B42="Mo",Spieltage!$B$33,IF(B42="Di",Spieltage!$B$34,IF(B42="Mi",Spieltage!$B$35,IF(B42="Do",Spieltage!$B$36,IF(B42="Fr",Spieltage!$B$37,"")))))</f>
        <v>41585</v>
      </c>
      <c r="B42" t="str">
        <f>VLOOKUP(9,KKsued,3,FALSE)</f>
        <v>Do</v>
      </c>
      <c r="C42" s="19">
        <f>VLOOKUP(9,KKsued,4,FALSE)</f>
        <v>0.8125</v>
      </c>
      <c r="D42" t="str">
        <f>VLOOKUP(9,KKsued,2,FALSE)</f>
        <v>TTC Hostenbach 2</v>
      </c>
      <c r="E42" s="18" t="s">
        <v>35</v>
      </c>
      <c r="F42" t="str">
        <f>VLOOKUP(6,KKsued,2,FALSE)</f>
        <v>TV Dorf im Warndt </v>
      </c>
      <c r="G42" s="17">
        <f>IF(H42="Mo",Spieltage!$F$33,IF(H42="Di",Spieltage!$F$34,IF(H42="Mi",Spieltage!$F$35,IF(H42="Do",Spieltage!$F$36,IF(H42="Fr",Spieltage!$F$37,"")))))</f>
        <v>41690</v>
      </c>
      <c r="H42" t="str">
        <f>VLOOKUP(6,KKsued,3,FALSE)</f>
        <v>Do</v>
      </c>
      <c r="I42" s="19">
        <f>VLOOKUP(6,KKsued,4,FALSE)</f>
        <v>0.7916666666666666</v>
      </c>
    </row>
    <row r="44" spans="1:9" ht="12.75">
      <c r="A44" s="17">
        <f>IF(B44="Mo",Spieltage!$B$38,IF(B44="Di",Spieltage!$B$39,IF(B44="Mi",Spieltage!$B$40,IF(B44="Do",Spieltage!$B$41,IF(B44="Fr",Spieltage!$B$42,"")))))</f>
        <v>41593</v>
      </c>
      <c r="B44" t="str">
        <f>VLOOKUP(4,KKsued,3,FALSE)</f>
        <v>Fr</v>
      </c>
      <c r="C44" s="19">
        <f>VLOOKUP(4,KKsued,4,FALSE)</f>
        <v>0.8125</v>
      </c>
      <c r="D44" t="str">
        <f>VLOOKUP(4,KKsued,2,FALSE)</f>
        <v>TTC Püttlingen 3</v>
      </c>
      <c r="E44" s="18" t="s">
        <v>35</v>
      </c>
      <c r="F44" t="str">
        <f>VLOOKUP(1,KKsued,2,FALSE)</f>
        <v>TTC Hostenbach </v>
      </c>
      <c r="G44" s="17">
        <f>IF(H44="Mo",Spieltage!$F$38,IF(H44="Di",Spieltage!$F$39,IF(H44="Mi",Spieltage!$F$40,IF(H44="Do",Spieltage!$F$41,IF(H44="Fr",Spieltage!$F$42,"")))))</f>
        <v>41709</v>
      </c>
      <c r="H44" t="str">
        <f>VLOOKUP(1,KKsued,3,FALSE)</f>
        <v>Di</v>
      </c>
      <c r="I44" s="19">
        <f>VLOOKUP(1,KKsued,4,FALSE)</f>
        <v>0.8125</v>
      </c>
    </row>
    <row r="45" spans="1:9" ht="12.75">
      <c r="A45" s="17">
        <f>IF(B45="Mo",Spieltage!$B$38,IF(B45="Di",Spieltage!$B$39,IF(B45="Mi",Spieltage!$B$40,IF(B45="Do",Spieltage!$B$41,IF(B45="Fr",Spieltage!$B$42,"")))))</f>
        <v>41590</v>
      </c>
      <c r="B45" t="str">
        <f>VLOOKUP(5,KKsued,3,FALSE)</f>
        <v>Di</v>
      </c>
      <c r="C45" s="19">
        <f>VLOOKUP(5,KKsued,4,FALSE)</f>
        <v>0.8229166666666666</v>
      </c>
      <c r="D45" t="str">
        <f>VLOOKUP(5,KKsued,2,FALSE)</f>
        <v>ATSV Saarbrücken 2</v>
      </c>
      <c r="E45" s="18" t="s">
        <v>35</v>
      </c>
      <c r="F45" t="str">
        <f>VLOOKUP(2,KKsued,2,FALSE)</f>
        <v>SV Sitterswald </v>
      </c>
      <c r="G45" s="17">
        <f>IF(H45="Mo",Spieltage!$F$38,IF(H45="Di",Spieltage!$F$39,IF(H45="Mi",Spieltage!$F$40,IF(H45="Do",Spieltage!$F$41,IF(H45="Fr",Spieltage!$F$42,"")))))</f>
        <v>41711</v>
      </c>
      <c r="H45" t="str">
        <f>VLOOKUP(2,KKsued,3,FALSE)</f>
        <v>Do</v>
      </c>
      <c r="I45" s="19">
        <f>VLOOKUP(2,KKsued,4,FALSE)</f>
        <v>0.8333333333333334</v>
      </c>
    </row>
    <row r="46" spans="1:9" ht="12.75">
      <c r="A46" s="17">
        <f>IF(B46="Mo",Spieltage!$B$38,IF(B46="Di",Spieltage!$B$39,IF(B46="Mi",Spieltage!$B$40,IF(B46="Do",Spieltage!$B$41,IF(B46="Fr",Spieltage!$B$42,"")))))</f>
        <v>41592</v>
      </c>
      <c r="B46" t="str">
        <f>VLOOKUP(6,KKsued,3,FALSE)</f>
        <v>Do</v>
      </c>
      <c r="C46" s="19">
        <f>VLOOKUP(6,KKsued,4,FALSE)</f>
        <v>0.7916666666666666</v>
      </c>
      <c r="D46" t="str">
        <f>VLOOKUP(6,KKsued,2,FALSE)</f>
        <v>TV Dorf im Warndt </v>
      </c>
      <c r="E46" s="18" t="s">
        <v>35</v>
      </c>
      <c r="F46" t="str">
        <f>VLOOKUP(8,KKsued,2,FALSE)</f>
        <v>TTC Köllerbach 4</v>
      </c>
      <c r="G46" s="17">
        <f>IF(H46="Mo",Spieltage!$F$38,IF(H46="Di",Spieltage!$F$39,IF(H46="Mi",Spieltage!$F$40,IF(H46="Do",Spieltage!$F$41,IF(H46="Fr",Spieltage!$F$42,"")))))</f>
        <v>41709</v>
      </c>
      <c r="H46" t="str">
        <f>VLOOKUP(8,KKsued,3,FALSE)</f>
        <v>Di</v>
      </c>
      <c r="I46" s="19">
        <f>VLOOKUP(8,KKsued,4,FALSE)</f>
        <v>0.8125</v>
      </c>
    </row>
    <row r="47" spans="1:9" ht="12.75">
      <c r="A47" s="17">
        <f>IF(B47="Mo",Spieltage!$B$38,IF(B47="Di",Spieltage!$B$39,IF(B47="Mi",Spieltage!$B$40,IF(B47="Do",Spieltage!$B$41,IF(B47="Fr",Spieltage!$B$42,"")))))</f>
        <v>41593</v>
      </c>
      <c r="B47" t="str">
        <f>VLOOKUP(7,KKsued,3,FALSE)</f>
        <v>Fr</v>
      </c>
      <c r="C47" s="19">
        <f>VLOOKUP(7,KKsued,4,FALSE)</f>
        <v>0.8125</v>
      </c>
      <c r="D47" t="str">
        <f>VLOOKUP(7,KKsued,2,FALSE)</f>
        <v>TV Brebach</v>
      </c>
      <c r="E47" s="18" t="s">
        <v>35</v>
      </c>
      <c r="F47" t="str">
        <f>VLOOKUP(9,KKsued,2,FALSE)</f>
        <v>TTC Hostenbach 2</v>
      </c>
      <c r="G47" s="17">
        <f>IF(H47="Mo",Spieltage!$F$38,IF(H47="Di",Spieltage!$F$39,IF(H47="Mi",Spieltage!$F$40,IF(H47="Do",Spieltage!$F$41,IF(H47="Fr",Spieltage!$F$42,"")))))</f>
        <v>41711</v>
      </c>
      <c r="H47" t="str">
        <f>VLOOKUP(9,KKsued,3,FALSE)</f>
        <v>Do</v>
      </c>
      <c r="I47" s="19">
        <f>VLOOKUP(9,KKsued,4,FALSE)</f>
        <v>0.8125</v>
      </c>
    </row>
    <row r="48" spans="1:9" ht="12.75">
      <c r="A48" s="17">
        <f>IF(B48="Mo",Spieltage!$B$38,IF(B48="Di",Spieltage!$B$39,IF(B48="Mi",Spieltage!$B$40,IF(B48="Do",Spieltage!$B$41,IF(B48="Fr",Spieltage!$B$42,"")))))</f>
      </c>
      <c r="B48" t="str">
        <f>VLOOKUP(10,KKsued,3,FALSE)</f>
        <v> </v>
      </c>
      <c r="C48" s="19" t="str">
        <f>VLOOKUP(10,KKsued,4,FALSE)</f>
        <v> </v>
      </c>
      <c r="D48" t="str">
        <f>VLOOKUP(10,KKsued,2,FALSE)</f>
        <v>spielfrei</v>
      </c>
      <c r="E48" s="18" t="s">
        <v>35</v>
      </c>
      <c r="F48" t="str">
        <f>VLOOKUP(3,KKsued,2,FALSE)</f>
        <v>TuS Eschringen</v>
      </c>
      <c r="G48" s="17">
        <f>IF(H48="Mo",Spieltage!$F$38,IF(H48="Di",Spieltage!$F$39,IF(H48="Mi",Spieltage!$F$40,IF(H48="Do",Spieltage!$F$41,IF(H48="Fr",Spieltage!$F$42,"")))))</f>
        <v>41710</v>
      </c>
      <c r="H48" t="str">
        <f>VLOOKUP(3,KKsued,3,FALSE)</f>
        <v>Mi</v>
      </c>
      <c r="I48" s="19">
        <f>VLOOKUP(3,KKsued,4,FALSE)</f>
        <v>0.7916666666666666</v>
      </c>
    </row>
    <row r="50" spans="1:9" ht="12.75">
      <c r="A50" s="17">
        <f>IF(B50="Mo",Spieltage!$B$43,IF(B50="Di",Spieltage!$B$44,IF(B50="Mi",Spieltage!$B$45,IF(B50="Do",Spieltage!$B$46,IF(B50="Fr",Spieltage!$B$47,"")))))</f>
        <v>40873</v>
      </c>
      <c r="B50" t="str">
        <f>VLOOKUP(1,KKsued,3,FALSE)</f>
        <v>Di</v>
      </c>
      <c r="C50" s="19">
        <f>VLOOKUP(1,KKsued,4,FALSE)</f>
        <v>0.8125</v>
      </c>
      <c r="D50" t="str">
        <f>VLOOKUP(1,KKsued,2,FALSE)</f>
        <v>TTC Hostenbach </v>
      </c>
      <c r="E50" s="18" t="s">
        <v>35</v>
      </c>
      <c r="F50" t="str">
        <f>VLOOKUP(7,KKsued,2,FALSE)</f>
        <v>TV Brebach</v>
      </c>
      <c r="G50" s="17">
        <f>IF(H50="Mo",Spieltage!$F$43,IF(H50="Di",Spieltage!$F$44,IF(H50="Mi",Spieltage!$F$45,IF(H50="Do",Spieltage!$F$46,IF(H50="Fr",Spieltage!$F$47,"")))))</f>
        <v>41726</v>
      </c>
      <c r="H50" t="str">
        <f>VLOOKUP(7,KKsued,3,FALSE)</f>
        <v>Fr</v>
      </c>
      <c r="I50" s="19">
        <f>VLOOKUP(7,KKsued,4,FALSE)</f>
        <v>0.8125</v>
      </c>
    </row>
    <row r="51" spans="1:9" ht="12.75">
      <c r="A51" s="17">
        <f>IF(B51="Mo",Spieltage!$B$43,IF(B51="Di",Spieltage!$B$44,IF(B51="Mi",Spieltage!$B$45,IF(B51="Do",Spieltage!$B$46,IF(B51="Fr",Spieltage!$B$47,"")))))</f>
        <v>40875</v>
      </c>
      <c r="B51" t="str">
        <f>VLOOKUP(2,KKsued,3,FALSE)</f>
        <v>Do</v>
      </c>
      <c r="C51" s="19">
        <f>VLOOKUP(2,KKsued,4,FALSE)</f>
        <v>0.8333333333333334</v>
      </c>
      <c r="D51" t="str">
        <f>VLOOKUP(2,KKsued,2,FALSE)</f>
        <v>SV Sitterswald </v>
      </c>
      <c r="E51" s="18" t="s">
        <v>35</v>
      </c>
      <c r="F51" t="str">
        <f>VLOOKUP(6,KKsued,2,FALSE)</f>
        <v>TV Dorf im Warndt </v>
      </c>
      <c r="G51" s="17">
        <f>IF(H51="Mo",Spieltage!$F$43,IF(H51="Di",Spieltage!$F$44,IF(H51="Mi",Spieltage!$F$45,IF(H51="Do",Spieltage!$F$46,IF(H51="Fr",Spieltage!$F$47,"")))))</f>
        <v>41725</v>
      </c>
      <c r="H51" t="str">
        <f>VLOOKUP(6,KKsued,3,FALSE)</f>
        <v>Do</v>
      </c>
      <c r="I51" s="19">
        <f>VLOOKUP(6,KKsued,4,FALSE)</f>
        <v>0.7916666666666666</v>
      </c>
    </row>
    <row r="52" spans="1:9" ht="12.75">
      <c r="A52" s="17">
        <f>IF(B52="Mo",Spieltage!$B$43,IF(B52="Di",Spieltage!$B$44,IF(B52="Mi",Spieltage!$B$45,IF(B52="Do",Spieltage!$B$46,IF(B52="Fr",Spieltage!$B$47,"")))))</f>
        <v>40874</v>
      </c>
      <c r="B52" t="str">
        <f>VLOOKUP(3,KKsued,3,FALSE)</f>
        <v>Mi</v>
      </c>
      <c r="C52" s="19">
        <f>VLOOKUP(3,KKsued,4,FALSE)</f>
        <v>0.7916666666666666</v>
      </c>
      <c r="D52" t="str">
        <f>VLOOKUP(3,KKsued,2,FALSE)</f>
        <v>TuS Eschringen</v>
      </c>
      <c r="E52" s="18" t="s">
        <v>35</v>
      </c>
      <c r="F52" t="str">
        <f>VLOOKUP(5,KKsued,2,FALSE)</f>
        <v>ATSV Saarbrücken 2</v>
      </c>
      <c r="G52" s="17">
        <f>IF(H52="Mo",Spieltage!$F$43,IF(H52="Di",Spieltage!$F$44,IF(H52="Mi",Spieltage!$F$45,IF(H52="Do",Spieltage!$F$46,IF(H52="Fr",Spieltage!$F$47,"")))))</f>
        <v>41723</v>
      </c>
      <c r="H52" t="str">
        <f>VLOOKUP(5,KKsued,3,FALSE)</f>
        <v>Di</v>
      </c>
      <c r="I52" s="19">
        <f>VLOOKUP(5,KKsued,4,FALSE)</f>
        <v>0.8229166666666666</v>
      </c>
    </row>
    <row r="53" spans="1:9" ht="12.75">
      <c r="A53" s="17">
        <f>IF(B53="Mo",Spieltage!$B$43,IF(B53="Di",Spieltage!$B$44,IF(B53="Mi",Spieltage!$B$45,IF(B53="Do",Spieltage!$B$46,IF(B53="Fr",Spieltage!$B$47,"")))))</f>
        <v>40876</v>
      </c>
      <c r="B53" t="str">
        <f>VLOOKUP(4,KKsued,3,FALSE)</f>
        <v>Fr</v>
      </c>
      <c r="C53" s="19">
        <f>VLOOKUP(4,KKsued,4,FALSE)</f>
        <v>0.8125</v>
      </c>
      <c r="D53" t="str">
        <f>VLOOKUP(4,KKsued,2,FALSE)</f>
        <v>TTC Püttlingen 3</v>
      </c>
      <c r="E53" s="18" t="s">
        <v>35</v>
      </c>
      <c r="F53" t="str">
        <f>VLOOKUP(10,KKsued,2,FALSE)</f>
        <v>spielfrei</v>
      </c>
      <c r="G53" s="17">
        <f>IF(H53="Mo",Spieltage!$F$43,IF(H53="Di",Spieltage!$F$44,IF(H53="Mi",Spieltage!$F$45,IF(H53="Do",Spieltage!$F$46,IF(H53="Fr",Spieltage!$F$47,"")))))</f>
      </c>
      <c r="H53" t="str">
        <f>VLOOKUP(10,KKsued,3,FALSE)</f>
        <v> </v>
      </c>
      <c r="I53" s="19" t="str">
        <f>VLOOKUP(10,KKsued,4,FALSE)</f>
        <v> </v>
      </c>
    </row>
    <row r="54" spans="1:9" ht="12.75">
      <c r="A54" s="17">
        <f>IF(B54="Mo",Spieltage!$B$43,IF(B54="Di",Spieltage!$B$44,IF(B54="Mi",Spieltage!$B$45,IF(B54="Do",Spieltage!$B$46,IF(B54="Fr",Spieltage!$B$47,"")))))</f>
        <v>40875</v>
      </c>
      <c r="B54" t="str">
        <f>VLOOKUP(9,KKsued,3,FALSE)</f>
        <v>Do</v>
      </c>
      <c r="C54" s="19">
        <f>VLOOKUP(9,KKsued,4,FALSE)</f>
        <v>0.8125</v>
      </c>
      <c r="D54" t="str">
        <f>VLOOKUP(9,KKsued,2,FALSE)</f>
        <v>TTC Hostenbach 2</v>
      </c>
      <c r="E54" s="18" t="s">
        <v>35</v>
      </c>
      <c r="F54" t="str">
        <f>VLOOKUP(8,KKsued,2,FALSE)</f>
        <v>TTC Köllerbach 4</v>
      </c>
      <c r="G54" s="17">
        <f>IF(H54="Mo",Spieltage!$F$43,IF(H54="Di",Spieltage!$F$44,IF(H54="Mi",Spieltage!$F$45,IF(H54="Do",Spieltage!$F$46,IF(H54="Fr",Spieltage!$F$47,"")))))</f>
        <v>41723</v>
      </c>
      <c r="H54" t="str">
        <f>VLOOKUP(8,KKsued,3,FALSE)</f>
        <v>Di</v>
      </c>
      <c r="I54" s="19">
        <f>VLOOKUP(8,KKsued,4,FALSE)</f>
        <v>0.8125</v>
      </c>
    </row>
    <row r="56" spans="1:9" ht="12.75">
      <c r="A56" s="17">
        <f>IF(B56="Mo",Spieltage!$B$48,IF(B56="Di",Spieltage!$B$49,IF(B56="Mi",Spieltage!$B$50,IF(B56="Do",Spieltage!$B$51,IF(B56="Fr",Spieltage!$B$52,"")))))</f>
        <v>41611</v>
      </c>
      <c r="B56" t="str">
        <f>VLOOKUP(5,KKsued,3,FALSE)</f>
        <v>Di</v>
      </c>
      <c r="C56" s="19">
        <f>VLOOKUP(5,KKsued,4,FALSE)</f>
        <v>0.8229166666666666</v>
      </c>
      <c r="D56" t="str">
        <f>VLOOKUP(5,KKsued,2,FALSE)</f>
        <v>ATSV Saarbrücken 2</v>
      </c>
      <c r="E56" s="18" t="s">
        <v>35</v>
      </c>
      <c r="F56" t="str">
        <f>VLOOKUP(4,KKsued,2,FALSE)</f>
        <v>TTC Püttlingen 3</v>
      </c>
      <c r="G56" s="17">
        <f>IF(H56="Mo",Spieltage!$F$48,IF(H56="Di",Spieltage!$F$49,IF(H56="Mi",Spieltage!$F$50,IF(H56="Do",Spieltage!$F$51,IF(H56="Fr",Spieltage!$F$52,"")))))</f>
        <v>41733</v>
      </c>
      <c r="H56" t="str">
        <f>VLOOKUP(4,KKsued,3,FALSE)</f>
        <v>Fr</v>
      </c>
      <c r="I56" s="19">
        <f>VLOOKUP(4,KKsued,4,FALSE)</f>
        <v>0.8125</v>
      </c>
    </row>
    <row r="57" spans="1:9" ht="12.75">
      <c r="A57" s="17">
        <f>IF(B57="Mo",Spieltage!$B$48,IF(B57="Di",Spieltage!$B$49,IF(B57="Mi",Spieltage!$B$50,IF(B57="Do",Spieltage!$B$51,IF(B57="Fr",Spieltage!$B$52,"")))))</f>
        <v>41613</v>
      </c>
      <c r="B57" t="str">
        <f>VLOOKUP(6,KKsued,3,FALSE)</f>
        <v>Do</v>
      </c>
      <c r="C57" s="19">
        <f>VLOOKUP(6,KKsued,4,FALSE)</f>
        <v>0.7916666666666666</v>
      </c>
      <c r="D57" t="str">
        <f>VLOOKUP(6,KKsued,2,FALSE)</f>
        <v>TV Dorf im Warndt </v>
      </c>
      <c r="E57" s="18" t="s">
        <v>35</v>
      </c>
      <c r="F57" t="str">
        <f>VLOOKUP(3,KKsued,2,FALSE)</f>
        <v>TuS Eschringen</v>
      </c>
      <c r="G57" s="17">
        <f>IF(H57="Mo",Spieltage!$F$48,IF(H57="Di",Spieltage!$F$49,IF(H57="Mi",Spieltage!$F$50,IF(H57="Do",Spieltage!$F$51,IF(H57="Fr",Spieltage!$F$52,"")))))</f>
        <v>41731</v>
      </c>
      <c r="H57" t="str">
        <f>VLOOKUP(3,KKsued,3,FALSE)</f>
        <v>Mi</v>
      </c>
      <c r="I57" s="19">
        <f>VLOOKUP(3,KKsued,4,FALSE)</f>
        <v>0.7916666666666666</v>
      </c>
    </row>
    <row r="58" spans="1:9" ht="12.75">
      <c r="A58" s="17">
        <f>IF(B58="Mo",Spieltage!$B$48,IF(B58="Di",Spieltage!$B$49,IF(B58="Mi",Spieltage!$B$50,IF(B58="Do",Spieltage!$B$51,IF(B58="Fr",Spieltage!$B$52,"")))))</f>
        <v>41614</v>
      </c>
      <c r="B58" t="str">
        <f>VLOOKUP(7,KKsued,3,FALSE)</f>
        <v>Fr</v>
      </c>
      <c r="C58" s="19">
        <f>VLOOKUP(7,KKsued,4,FALSE)</f>
        <v>0.8125</v>
      </c>
      <c r="D58" t="str">
        <f>VLOOKUP(7,KKsued,2,FALSE)</f>
        <v>TV Brebach</v>
      </c>
      <c r="E58" s="18" t="s">
        <v>35</v>
      </c>
      <c r="F58" t="str">
        <f>VLOOKUP(2,KKsued,2,FALSE)</f>
        <v>SV Sitterswald </v>
      </c>
      <c r="G58" s="17">
        <f>IF(H58="Mo",Spieltage!$F$48,IF(H58="Di",Spieltage!$F$49,IF(H58="Mi",Spieltage!$F$50,IF(H58="Do",Spieltage!$F$51,IF(H58="Fr",Spieltage!$F$52,"")))))</f>
        <v>41732</v>
      </c>
      <c r="H58" t="str">
        <f>VLOOKUP(2,KKsued,3,FALSE)</f>
        <v>Do</v>
      </c>
      <c r="I58" s="19">
        <f>VLOOKUP(2,KKsued,4,FALSE)</f>
        <v>0.8333333333333334</v>
      </c>
    </row>
    <row r="59" spans="1:9" ht="12.75">
      <c r="A59" s="17">
        <f>IF(B59="Mo",Spieltage!$B$48,IF(B59="Di",Spieltage!$B$49,IF(B59="Mi",Spieltage!$B$50,IF(B59="Do",Spieltage!$B$51,IF(B59="Fr",Spieltage!$B$52,"")))))</f>
        <v>41611</v>
      </c>
      <c r="B59" t="str">
        <f>VLOOKUP(8,KKsued,3,FALSE)</f>
        <v>Di</v>
      </c>
      <c r="C59" s="19">
        <f>VLOOKUP(8,KKsued,4,FALSE)</f>
        <v>0.8125</v>
      </c>
      <c r="D59" t="str">
        <f>VLOOKUP(8,KKsued,2,FALSE)</f>
        <v>TTC Köllerbach 4</v>
      </c>
      <c r="E59" s="18" t="s">
        <v>35</v>
      </c>
      <c r="F59" t="str">
        <f>VLOOKUP(1,KKsued,2,FALSE)</f>
        <v>TTC Hostenbach </v>
      </c>
      <c r="G59" s="17">
        <f>IF(H59="Mo",Spieltage!$F$48,IF(H59="Di",Spieltage!$F$49,IF(H59="Mi",Spieltage!$F$50,IF(H59="Do",Spieltage!$F$51,IF(H59="Fr",Spieltage!$F$52,"")))))</f>
        <v>41730</v>
      </c>
      <c r="H59" t="str">
        <f>VLOOKUP(1,KKsued,3,FALSE)</f>
        <v>Di</v>
      </c>
      <c r="I59" s="19">
        <f>VLOOKUP(1,KKsued,4,FALSE)</f>
        <v>0.8125</v>
      </c>
    </row>
    <row r="60" spans="1:9" ht="12.75">
      <c r="A60" s="17">
        <f>IF(B60="Mo",Spieltage!$B$48,IF(B60="Di",Spieltage!$B$49,IF(B60="Mi",Spieltage!$B$50,IF(B60="Do",Spieltage!$B$51,IF(B60="Fr",Spieltage!$B$52,"")))))</f>
      </c>
      <c r="B60" t="str">
        <f>VLOOKUP(10,KKsued,3,FALSE)</f>
        <v> </v>
      </c>
      <c r="C60" s="19" t="str">
        <f>VLOOKUP(10,KKsued,4,FALSE)</f>
        <v> </v>
      </c>
      <c r="D60" t="str">
        <f>VLOOKUP(10,KKsued,2,FALSE)</f>
        <v>spielfrei</v>
      </c>
      <c r="E60" s="18" t="s">
        <v>35</v>
      </c>
      <c r="F60" t="str">
        <f>VLOOKUP(9,KKsued,2,FALSE)</f>
        <v>TTC Hostenbach 2</v>
      </c>
      <c r="G60" s="17">
        <f>IF(H60="Mo",Spieltage!$F$48,IF(H60="Di",Spieltage!$F$49,IF(H60="Mi",Spieltage!$F$50,IF(H60="Do",Spieltage!$F$51,IF(H60="Fr",Spieltage!$F$52,"")))))</f>
        <v>41732</v>
      </c>
      <c r="H60" t="str">
        <f>VLOOKUP(9,KKsued,3,FALSE)</f>
        <v>Do</v>
      </c>
      <c r="I60" s="19">
        <f>VLOOKUP(9,KKsued,4,FALSE)</f>
        <v>0.8125</v>
      </c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D2" sqref="D2"/>
    </sheetView>
  </sheetViews>
  <sheetFormatPr defaultColWidth="11.421875" defaultRowHeight="12.75"/>
  <cols>
    <col min="1" max="1" width="10.28125" style="0" customWidth="1"/>
    <col min="2" max="2" width="3.7109375" style="0" customWidth="1"/>
    <col min="3" max="3" width="5.7109375" style="0" customWidth="1"/>
    <col min="4" max="4" width="21.7109375" style="0" customWidth="1"/>
    <col min="5" max="5" width="1.7109375" style="0" customWidth="1"/>
    <col min="6" max="6" width="21.7109375" style="0" customWidth="1"/>
    <col min="7" max="7" width="10.28125" style="0" customWidth="1"/>
    <col min="8" max="8" width="3.7109375" style="0" customWidth="1"/>
    <col min="9" max="9" width="5.7109375" style="0" customWidth="1"/>
  </cols>
  <sheetData>
    <row r="1" spans="1:9" ht="12.75">
      <c r="A1" s="1" t="s">
        <v>31</v>
      </c>
      <c r="I1" s="20" t="s">
        <v>32</v>
      </c>
    </row>
    <row r="2" ht="15.75">
      <c r="D2" s="4" t="s">
        <v>25</v>
      </c>
    </row>
    <row r="4" spans="1:4" ht="15.75">
      <c r="A4" s="4" t="s">
        <v>33</v>
      </c>
      <c r="D4" s="1" t="str">
        <f>Spieltage!A3&amp;" "&amp;Spieltage!B3</f>
        <v>Saison 2013/2014</v>
      </c>
    </row>
    <row r="6" spans="1:7" ht="12.75">
      <c r="A6" s="1" t="s">
        <v>28</v>
      </c>
      <c r="G6" s="1" t="s">
        <v>30</v>
      </c>
    </row>
    <row r="8" spans="1:9" ht="12.75">
      <c r="A8" s="17">
        <f>IF(B8="Mo",Spieltage!$B$8,IF(B8="Di",Spieltage!$B$9,IF(B8="Mi",Spieltage!$B$10,IF(B8="Do",Spieltage!$B$11,IF(B8="Fr",Spieltage!$B$12,"")))))</f>
        <v>41529</v>
      </c>
      <c r="B8" t="str">
        <f>VLOOKUP(1,KKwest,3,FALSE)</f>
        <v>Do</v>
      </c>
      <c r="C8" s="19">
        <f>VLOOKUP(1,KKwest,4,FALSE)</f>
        <v>0.8125</v>
      </c>
      <c r="D8" t="str">
        <f>VLOOKUP(1,KKwest,2,FALSE)</f>
        <v>TTG/DJK Ford Saarlouis </v>
      </c>
      <c r="E8" s="18" t="s">
        <v>35</v>
      </c>
      <c r="F8" t="str">
        <f>VLOOKUP(9,KKwest,2,FALSE)</f>
        <v>spielfrei</v>
      </c>
      <c r="G8" s="17">
        <f>IF(H8="Mo",Spieltage!$F$8,IF(H8="Di",Spieltage!$F$9,IF(H8="Mi",Spieltage!$F$10,IF(H8="Do",Spieltage!$F$11,IF(H8="Fr",Spieltage!$F$12,"")))))</f>
      </c>
      <c r="H8" t="str">
        <f>VLOOKUP(9,KKwest,3,FALSE)</f>
        <v> </v>
      </c>
      <c r="I8" s="19" t="str">
        <f>VLOOKUP(9,KKwest,4,FALSE)</f>
        <v> </v>
      </c>
    </row>
    <row r="9" spans="1:9" ht="12.75">
      <c r="A9" s="17">
        <f>IF(B9="Mo",Spieltage!$B$8,IF(B9="Di",Spieltage!$B$9,IF(B9="Mi",Spieltage!$B$10,IF(B9="Do",Spieltage!$B$11,IF(B9="Fr",Spieltage!$B$12,"")))))</f>
        <v>41528</v>
      </c>
      <c r="B9" t="str">
        <f>VLOOKUP(2,KKwest,3,FALSE)</f>
        <v>Mi</v>
      </c>
      <c r="C9" s="19">
        <f>VLOOKUP(2,KKwest,4,FALSE)</f>
        <v>0.8333333333333334</v>
      </c>
      <c r="D9" t="str">
        <f>VLOOKUP(2,KKwest,2,FALSE)</f>
        <v>SG Düppenweiler/Hargarten</v>
      </c>
      <c r="E9" s="18" t="s">
        <v>35</v>
      </c>
      <c r="F9" t="str">
        <f>VLOOKUP(8,KKwest,2,FALSE)</f>
        <v>spielfrei</v>
      </c>
      <c r="G9" s="17">
        <f>IF(H9="Mo",Spieltage!$F$8,IF(H9="Di",Spieltage!$F$9,IF(H9="Mi",Spieltage!$F$10,IF(H9="Do",Spieltage!$F$11,IF(H9="Fr",Spieltage!$F$12,"")))))</f>
      </c>
      <c r="H9" t="str">
        <f>VLOOKUP(8,KKwest,3,FALSE)</f>
        <v> </v>
      </c>
      <c r="I9" s="19" t="str">
        <f>VLOOKUP(8,KKwest,4,FALSE)</f>
        <v> </v>
      </c>
    </row>
    <row r="10" spans="1:9" ht="12.75">
      <c r="A10" s="17">
        <f>IF(B10="Mo",Spieltage!$B$8,IF(B10="Di",Spieltage!$B$9,IF(B10="Mi",Spieltage!$B$10,IF(B10="Do",Spieltage!$B$11,IF(B10="Fr",Spieltage!$B$12,"")))))</f>
        <v>41528</v>
      </c>
      <c r="B10" t="str">
        <f>VLOOKUP(3,KKwest,3,FALSE)</f>
        <v>Mi</v>
      </c>
      <c r="C10" s="19">
        <f>VLOOKUP(3,KKwest,4,FALSE)</f>
        <v>0.8333333333333334</v>
      </c>
      <c r="D10" t="str">
        <f>VLOOKUP(3,KKwest,2,FALSE)</f>
        <v>TTC Wallerfangen 2</v>
      </c>
      <c r="E10" s="18" t="s">
        <v>35</v>
      </c>
      <c r="F10" t="str">
        <f>VLOOKUP(7,KKwest,2,FALSE)</f>
        <v>TTC Rehlingen 2</v>
      </c>
      <c r="G10" s="17">
        <f>IF(H10="Mo",Spieltage!$F$8,IF(H10="Di",Spieltage!$F$9,IF(H10="Mi",Spieltage!$F$10,IF(H10="Do",Spieltage!$F$11,IF(H10="Fr",Spieltage!$F$12,"")))))</f>
        <v>41648</v>
      </c>
      <c r="H10" t="str">
        <f>VLOOKUP(7,KKwest,3,FALSE)</f>
        <v>Do</v>
      </c>
      <c r="I10" s="19">
        <f>VLOOKUP(7,KKwest,4,FALSE)</f>
        <v>0.8333333333333334</v>
      </c>
    </row>
    <row r="11" spans="1:9" ht="12.75">
      <c r="A11" s="17">
        <f>IF(B11="Mo",Spieltage!$B$8,IF(B11="Di",Spieltage!$B$9,IF(B11="Mi",Spieltage!$B$10,IF(B11="Do",Spieltage!$B$11,IF(B11="Fr",Spieltage!$B$12,"")))))</f>
        <v>41529</v>
      </c>
      <c r="B11" t="str">
        <f>VLOOKUP(4,KKwest,3,FALSE)</f>
        <v>Do</v>
      </c>
      <c r="C11" s="19">
        <f>VLOOKUP(4,KKwest,4,FALSE)</f>
        <v>0.8125</v>
      </c>
      <c r="D11" t="str">
        <f>VLOOKUP(4,KKwest,2,FALSE)</f>
        <v>SG Saarlouis-Roden/Beaumarais</v>
      </c>
      <c r="E11" s="18" t="s">
        <v>35</v>
      </c>
      <c r="F11" t="str">
        <f>VLOOKUP(6,KKwest,2,FALSE)</f>
        <v>TTV Wadgassen </v>
      </c>
      <c r="G11" s="17">
        <f>IF(H11="Mo",Spieltage!$F$8,IF(H11="Di",Spieltage!$F$9,IF(H11="Mi",Spieltage!$F$10,IF(H11="Do",Spieltage!$F$11,IF(H11="Fr",Spieltage!$F$12,"")))))</f>
        <v>41647</v>
      </c>
      <c r="H11" t="str">
        <f>VLOOKUP(6,KKwest,3,FALSE)</f>
        <v>Mi</v>
      </c>
      <c r="I11" s="19">
        <f>VLOOKUP(6,KKwest,4,FALSE)</f>
        <v>0.8125</v>
      </c>
    </row>
    <row r="12" spans="1:9" ht="12.75">
      <c r="A12" s="17">
        <f>IF(B12="Mo",Spieltage!$B$8,IF(B12="Di",Spieltage!$B$9,IF(B12="Mi",Spieltage!$B$10,IF(B12="Do",Spieltage!$B$11,IF(B12="Fr",Spieltage!$B$12,"")))))</f>
      </c>
      <c r="B12" t="str">
        <f>VLOOKUP(10,KKwest,3,FALSE)</f>
        <v> </v>
      </c>
      <c r="C12" s="19" t="str">
        <f>VLOOKUP(10,KKwest,4,FALSE)</f>
        <v> </v>
      </c>
      <c r="D12" t="str">
        <f>VLOOKUP(10,KKwest,2,FALSE)</f>
        <v>spielfrei</v>
      </c>
      <c r="E12" s="18" t="s">
        <v>35</v>
      </c>
      <c r="F12" t="str">
        <f>VLOOKUP(5,KKwest,2,FALSE)</f>
        <v>TTG Dillingen 4</v>
      </c>
      <c r="G12" s="17">
        <f>IF(H12="Mo",Spieltage!$F$8,IF(H12="Di",Spieltage!$F$9,IF(H12="Mi",Spieltage!$F$10,IF(H12="Do",Spieltage!$F$11,IF(H12="Fr",Spieltage!$F$12,"")))))</f>
        <v>41647</v>
      </c>
      <c r="H12" t="str">
        <f>VLOOKUP(5,KKwest,3,FALSE)</f>
        <v>Mi</v>
      </c>
      <c r="I12" s="19">
        <f>VLOOKUP(5,KKwest,4,FALSE)</f>
        <v>0.8125</v>
      </c>
    </row>
    <row r="13" ht="12.75">
      <c r="E13" s="18"/>
    </row>
    <row r="14" spans="1:9" ht="12.75">
      <c r="A14" s="17">
        <f>IF(B14="Mo",Spieltage!$B$13,IF(B14="Di",Spieltage!$B$14,IF(B14="Mi",Spieltage!$B$15,IF(B14="Do",Spieltage!$B$16,IF(B14="Fr",Spieltage!$B$17,"")))))</f>
        <v>41536</v>
      </c>
      <c r="B14" t="str">
        <f>VLOOKUP(1,KKwest,3,FALSE)</f>
        <v>Do</v>
      </c>
      <c r="C14" s="19">
        <f>VLOOKUP(1,KKwest,4,FALSE)</f>
        <v>0.8125</v>
      </c>
      <c r="D14" t="str">
        <f>VLOOKUP(1,KKwest,2,FALSE)</f>
        <v>TTG/DJK Ford Saarlouis </v>
      </c>
      <c r="E14" s="18" t="s">
        <v>35</v>
      </c>
      <c r="F14" t="str">
        <f>VLOOKUP(3,KKwest,2,FALSE)</f>
        <v>TTC Wallerfangen 2</v>
      </c>
      <c r="G14" s="17">
        <f>IF(H14="Mo",Spieltage!$F$13,IF(H14="Di",Spieltage!$F$14,IF(H14="Mi",Spieltage!$F$15,IF(H14="Do",Spieltage!$F$16,IF(H14="Fr",Spieltage!$F$17,"")))))</f>
        <v>41661</v>
      </c>
      <c r="H14" t="str">
        <f>VLOOKUP(3,KKwest,3,FALSE)</f>
        <v>Mi</v>
      </c>
      <c r="I14" s="19">
        <f>VLOOKUP(3,KKwest,4,FALSE)</f>
        <v>0.8333333333333334</v>
      </c>
    </row>
    <row r="15" spans="1:9" ht="12.75">
      <c r="A15" s="17">
        <f>IF(B15="Mo",Spieltage!$B$13,IF(B15="Di",Spieltage!$B$14,IF(B15="Mi",Spieltage!$B$15,IF(B15="Do",Spieltage!$B$16,IF(B15="Fr",Spieltage!$B$17,"")))))</f>
        <v>41535</v>
      </c>
      <c r="B15" t="str">
        <f>VLOOKUP(6,KKwest,3,FALSE)</f>
        <v>Mi</v>
      </c>
      <c r="C15" s="19">
        <f>VLOOKUP(6,KKwest,4,FALSE)</f>
        <v>0.8125</v>
      </c>
      <c r="D15" t="str">
        <f>VLOOKUP(6,KKwest,2,FALSE)</f>
        <v>TTV Wadgassen </v>
      </c>
      <c r="E15" s="18" t="s">
        <v>35</v>
      </c>
      <c r="F15" t="str">
        <f>VLOOKUP(10,KKwest,2,FALSE)</f>
        <v>spielfrei</v>
      </c>
      <c r="G15" s="17">
        <f>IF(H15="Mo",Spieltage!$F$13,IF(H15="Di",Spieltage!$F$14,IF(H15="Mi",Spieltage!$F$15,IF(H15="Do",Spieltage!$F$16,IF(H15="Fr",Spieltage!$F$17,"")))))</f>
      </c>
      <c r="H15" t="str">
        <f>VLOOKUP(10,KKwest,3,FALSE)</f>
        <v> </v>
      </c>
      <c r="I15" s="19" t="str">
        <f>VLOOKUP(10,KKwest,4,FALSE)</f>
        <v> </v>
      </c>
    </row>
    <row r="16" spans="1:9" ht="12.75">
      <c r="A16" s="17">
        <f>IF(B16="Mo",Spieltage!$B$13,IF(B16="Di",Spieltage!$B$14,IF(B16="Mi",Spieltage!$B$15,IF(B16="Do",Spieltage!$B$16,IF(B16="Fr",Spieltage!$B$17,"")))))</f>
        <v>41536</v>
      </c>
      <c r="B16" t="str">
        <f>VLOOKUP(7,KKwest,3,FALSE)</f>
        <v>Do</v>
      </c>
      <c r="C16" s="19">
        <f>VLOOKUP(7,KKwest,4,FALSE)</f>
        <v>0.8333333333333334</v>
      </c>
      <c r="D16" t="str">
        <f>VLOOKUP(7,KKwest,2,FALSE)</f>
        <v>TTC Rehlingen 2</v>
      </c>
      <c r="E16" s="18" t="s">
        <v>35</v>
      </c>
      <c r="F16" t="str">
        <f>VLOOKUP(4,KKwest,2,FALSE)</f>
        <v>SG Saarlouis-Roden/Beaumarais</v>
      </c>
      <c r="G16" s="17">
        <f>IF(H16="Mo",Spieltage!$F$13,IF(H16="Di",Spieltage!$F$14,IF(H16="Mi",Spieltage!$F$15,IF(H16="Do",Spieltage!$F$16,IF(H16="Fr",Spieltage!$F$17,"")))))</f>
        <v>41662</v>
      </c>
      <c r="H16" t="str">
        <f>VLOOKUP(4,KKwest,3,FALSE)</f>
        <v>Do</v>
      </c>
      <c r="I16" s="19">
        <f>VLOOKUP(4,KKwest,4,FALSE)</f>
        <v>0.8125</v>
      </c>
    </row>
    <row r="17" spans="1:9" ht="12.75">
      <c r="A17" s="17">
        <f>IF(B17="Mo",Spieltage!$B$13,IF(B17="Di",Spieltage!$B$14,IF(B17="Mi",Spieltage!$B$15,IF(B17="Do",Spieltage!$B$16,IF(B17="Fr",Spieltage!$B$17,"")))))</f>
      </c>
      <c r="B17" t="str">
        <f>VLOOKUP(8,KKwest,3,FALSE)</f>
        <v> </v>
      </c>
      <c r="C17" s="19" t="str">
        <f>VLOOKUP(8,KKwest,4,FALSE)</f>
        <v> </v>
      </c>
      <c r="D17" t="str">
        <f>VLOOKUP(8,KKwest,2,FALSE)</f>
        <v>spielfrei</v>
      </c>
      <c r="E17" s="18" t="s">
        <v>35</v>
      </c>
      <c r="F17" t="str">
        <f>VLOOKUP(5,KKwest,2,FALSE)</f>
        <v>TTG Dillingen 4</v>
      </c>
      <c r="G17" s="17">
        <f>IF(H17="Mo",Spieltage!$F$13,IF(H17="Di",Spieltage!$F$14,IF(H17="Mi",Spieltage!$F$15,IF(H17="Do",Spieltage!$F$16,IF(H17="Fr",Spieltage!$F$17,"")))))</f>
        <v>41661</v>
      </c>
      <c r="H17" t="str">
        <f>VLOOKUP(5,KKwest,3,FALSE)</f>
        <v>Mi</v>
      </c>
      <c r="I17" s="19">
        <f>VLOOKUP(5,KKwest,4,FALSE)</f>
        <v>0.8125</v>
      </c>
    </row>
    <row r="18" spans="1:9" ht="12.75">
      <c r="A18" s="17">
        <f>IF(B18="Mo",Spieltage!$B$13,IF(B18="Di",Spieltage!$B$14,IF(B18="Mi",Spieltage!$B$15,IF(B18="Do",Spieltage!$B$16,IF(B18="Fr",Spieltage!$B$17,"")))))</f>
      </c>
      <c r="B18" t="str">
        <f>VLOOKUP(9,KKwest,3,FALSE)</f>
        <v> </v>
      </c>
      <c r="C18" s="19" t="str">
        <f>VLOOKUP(9,KKwest,4,FALSE)</f>
        <v> </v>
      </c>
      <c r="D18" t="str">
        <f>VLOOKUP(9,KKwest,2,FALSE)</f>
        <v>spielfrei</v>
      </c>
      <c r="E18" s="18" t="s">
        <v>35</v>
      </c>
      <c r="F18" t="str">
        <f>VLOOKUP(2,KKwest,2,FALSE)</f>
        <v>SG Düppenweiler/Hargarten</v>
      </c>
      <c r="G18" s="17">
        <f>IF(H18="Mo",Spieltage!$F$13,IF(H18="Di",Spieltage!$F$14,IF(H18="Mi",Spieltage!$F$15,IF(H18="Do",Spieltage!$F$16,IF(H18="Fr",Spieltage!$F$17,"")))))</f>
        <v>41661</v>
      </c>
      <c r="H18" t="str">
        <f>VLOOKUP(2,KKwest,3,FALSE)</f>
        <v>Mi</v>
      </c>
      <c r="I18" s="19">
        <f>VLOOKUP(2,KKwest,4,FALSE)</f>
        <v>0.8333333333333334</v>
      </c>
    </row>
    <row r="20" spans="1:9" ht="12.75">
      <c r="A20" s="17">
        <f>IF(B20="Mo",Spieltage!$B$18,IF(B20="Di",Spieltage!$B$19,IF(B20="Mi",Spieltage!$B$20,IF(B20="Do",Spieltage!$B$21,IF(B20="Fr",Spieltage!$B$22,"")))))</f>
        <v>41542</v>
      </c>
      <c r="B20" t="str">
        <f>VLOOKUP(2,KKwest,3,FALSE)</f>
        <v>Mi</v>
      </c>
      <c r="C20" s="19">
        <f>VLOOKUP(2,KKwest,4,FALSE)</f>
        <v>0.8333333333333334</v>
      </c>
      <c r="D20" t="str">
        <f>VLOOKUP(2,KKwest,2,FALSE)</f>
        <v>SG Düppenweiler/Hargarten</v>
      </c>
      <c r="E20" s="18" t="s">
        <v>35</v>
      </c>
      <c r="F20" t="str">
        <f>VLOOKUP(1,KKwest,2,FALSE)</f>
        <v>TTG/DJK Ford Saarlouis </v>
      </c>
      <c r="G20" s="17">
        <f>IF(H20="Mo",Spieltage!$F$18,IF(H20="Di",Spieltage!$F$19,IF(H20="Mi",Spieltage!$F$20,IF(H20="Do",Spieltage!$F$21,IF(H20="Fr",Spieltage!$F$22,"")))))</f>
        <v>41669</v>
      </c>
      <c r="H20" t="str">
        <f>VLOOKUP(1,KKwest,3,FALSE)</f>
        <v>Do</v>
      </c>
      <c r="I20" s="19">
        <f>VLOOKUP(1,KKwest,4,FALSE)</f>
        <v>0.8125</v>
      </c>
    </row>
    <row r="21" spans="1:9" ht="12.75">
      <c r="A21" s="17">
        <f>IF(B21="Mo",Spieltage!$B$18,IF(B21="Di",Spieltage!$B$19,IF(B21="Mi",Spieltage!$B$20,IF(B21="Do",Spieltage!$B$21,IF(B21="Fr",Spieltage!$B$22,"")))))</f>
        <v>41542</v>
      </c>
      <c r="B21" t="str">
        <f>VLOOKUP(3,KKwest,3,FALSE)</f>
        <v>Mi</v>
      </c>
      <c r="C21" s="19">
        <f>VLOOKUP(3,KKwest,4,FALSE)</f>
        <v>0.8333333333333334</v>
      </c>
      <c r="D21" t="str">
        <f>VLOOKUP(3,KKwest,2,FALSE)</f>
        <v>TTC Wallerfangen 2</v>
      </c>
      <c r="E21" s="18" t="s">
        <v>35</v>
      </c>
      <c r="F21" t="str">
        <f>VLOOKUP(9,KKwest,2,FALSE)</f>
        <v>spielfrei</v>
      </c>
      <c r="G21" s="17">
        <f>IF(H21="Mo",Spieltage!$F$18,IF(H21="Di",Spieltage!$F$19,IF(H21="Mi",Spieltage!$F$20,IF(H21="Do",Spieltage!$F$21,IF(H21="Fr",Spieltage!$F$22,"")))))</f>
      </c>
      <c r="H21" t="str">
        <f>VLOOKUP(9,KKwest,3,FALSE)</f>
        <v> </v>
      </c>
      <c r="I21" s="19" t="str">
        <f>VLOOKUP(9,KKwest,4,FALSE)</f>
        <v> </v>
      </c>
    </row>
    <row r="22" spans="1:9" ht="12.75">
      <c r="A22" s="17">
        <f>IF(B22="Mo",Spieltage!$B$18,IF(B22="Di",Spieltage!$B$19,IF(B22="Mi",Spieltage!$B$20,IF(B22="Do",Spieltage!$B$21,IF(B22="Fr",Spieltage!$B$22,"")))))</f>
        <v>41543</v>
      </c>
      <c r="B22" t="str">
        <f>VLOOKUP(4,KKwest,3,FALSE)</f>
        <v>Do</v>
      </c>
      <c r="C22" s="19">
        <f>VLOOKUP(4,KKwest,4,FALSE)</f>
        <v>0.8125</v>
      </c>
      <c r="D22" t="str">
        <f>VLOOKUP(4,KKwest,2,FALSE)</f>
        <v>SG Saarlouis-Roden/Beaumarais</v>
      </c>
      <c r="E22" s="18" t="s">
        <v>35</v>
      </c>
      <c r="F22" t="str">
        <f>VLOOKUP(8,KKwest,2,FALSE)</f>
        <v>spielfrei</v>
      </c>
      <c r="G22" s="17">
        <f>IF(H22="Mo",Spieltage!$F$18,IF(H22="Di",Spieltage!$F$19,IF(H22="Mi",Spieltage!$F$20,IF(H22="Do",Spieltage!$F$21,IF(H22="Fr",Spieltage!$F$22,"")))))</f>
      </c>
      <c r="H22" t="str">
        <f>VLOOKUP(8,KKwest,3,FALSE)</f>
        <v> </v>
      </c>
      <c r="I22" s="19" t="str">
        <f>VLOOKUP(8,KKwest,4,FALSE)</f>
        <v> </v>
      </c>
    </row>
    <row r="23" spans="1:9" ht="12.75">
      <c r="A23" s="17">
        <f>IF(B23="Mo",Spieltage!$B$18,IF(B23="Di",Spieltage!$B$19,IF(B23="Mi",Spieltage!$B$20,IF(B23="Do",Spieltage!$B$21,IF(B23="Fr",Spieltage!$B$22,"")))))</f>
        <v>41542</v>
      </c>
      <c r="B23" t="str">
        <f>VLOOKUP(5,KKwest,3,FALSE)</f>
        <v>Mi</v>
      </c>
      <c r="C23" s="19">
        <f>VLOOKUP(5,KKwest,4,FALSE)</f>
        <v>0.8125</v>
      </c>
      <c r="D23" t="str">
        <f>VLOOKUP(5,KKwest,2,FALSE)</f>
        <v>TTG Dillingen 4</v>
      </c>
      <c r="E23" s="18" t="s">
        <v>35</v>
      </c>
      <c r="F23" t="str">
        <f>VLOOKUP(6,KKwest,2,FALSE)</f>
        <v>TTV Wadgassen </v>
      </c>
      <c r="G23" s="17">
        <f>IF(H23="Mo",Spieltage!$F$18,IF(H23="Di",Spieltage!$F$19,IF(H23="Mi",Spieltage!$F$20,IF(H23="Do",Spieltage!$F$21,IF(H23="Fr",Spieltage!$F$22,"")))))</f>
        <v>41668</v>
      </c>
      <c r="H23" t="str">
        <f>VLOOKUP(6,KKwest,3,FALSE)</f>
        <v>Mi</v>
      </c>
      <c r="I23" s="19">
        <f>VLOOKUP(6,KKwest,4,FALSE)</f>
        <v>0.8125</v>
      </c>
    </row>
    <row r="24" spans="1:9" ht="12.75">
      <c r="A24" s="17">
        <f>IF(B24="Mo",Spieltage!$B$18,IF(B24="Di",Spieltage!$B$19,IF(B24="Mi",Spieltage!$B$20,IF(B24="Do",Spieltage!$B$21,IF(B24="Fr",Spieltage!$B$22,"")))))</f>
      </c>
      <c r="B24" t="str">
        <f>VLOOKUP(10,KKwest,3,FALSE)</f>
        <v> </v>
      </c>
      <c r="C24" s="19" t="str">
        <f>VLOOKUP(10,KKwest,4,FALSE)</f>
        <v> </v>
      </c>
      <c r="D24" t="str">
        <f>VLOOKUP(10,KKwest,2,FALSE)</f>
        <v>spielfrei</v>
      </c>
      <c r="E24" s="18" t="s">
        <v>35</v>
      </c>
      <c r="F24" t="str">
        <f>VLOOKUP(7,KKwest,2,FALSE)</f>
        <v>TTC Rehlingen 2</v>
      </c>
      <c r="G24" s="17">
        <f>IF(H24="Mo",Spieltage!$F$18,IF(H24="Di",Spieltage!$F$19,IF(H24="Mi",Spieltage!$F$20,IF(H24="Do",Spieltage!$F$21,IF(H24="Fr",Spieltage!$F$22,"")))))</f>
        <v>41669</v>
      </c>
      <c r="H24" t="str">
        <f>VLOOKUP(7,KKwest,3,FALSE)</f>
        <v>Do</v>
      </c>
      <c r="I24" s="19">
        <f>VLOOKUP(7,KKwest,4,FALSE)</f>
        <v>0.8333333333333334</v>
      </c>
    </row>
    <row r="26" spans="1:9" ht="12.75">
      <c r="A26" s="17">
        <f>IF(B26="Mo",Spieltage!$B$23,IF(B26="Di",Spieltage!$B$24,IF(B26="Mi",Spieltage!$B$25,IF(B26="Do",Spieltage!$B$26,IF(B26="Fr",Spieltage!$B$27,"")))))</f>
        <v>41557</v>
      </c>
      <c r="B26" t="str">
        <f>VLOOKUP(1,KKwest,3,FALSE)</f>
        <v>Do</v>
      </c>
      <c r="C26" s="19">
        <f>VLOOKUP(1,KKwest,4,FALSE)</f>
        <v>0.8125</v>
      </c>
      <c r="D26" t="str">
        <f>VLOOKUP(1,KKwest,2,FALSE)</f>
        <v>TTG/DJK Ford Saarlouis </v>
      </c>
      <c r="E26" s="18" t="s">
        <v>35</v>
      </c>
      <c r="F26" t="str">
        <f>VLOOKUP(6,KKwest,2,FALSE)</f>
        <v>TTV Wadgassen </v>
      </c>
      <c r="G26" s="17">
        <f>IF(H26="Mo",Spieltage!$F$23,IF(H26="Di",Spieltage!$F$24,IF(H26="Mi",Spieltage!$F$25,IF(H26="Do",Spieltage!$F$26,IF(H26="Fr",Spieltage!$F$27,"")))))</f>
        <v>41675</v>
      </c>
      <c r="H26" t="str">
        <f>VLOOKUP(6,KKwest,3,FALSE)</f>
        <v>Mi</v>
      </c>
      <c r="I26" s="19">
        <f>VLOOKUP(6,KKwest,4,FALSE)</f>
        <v>0.8125</v>
      </c>
    </row>
    <row r="27" spans="1:9" ht="12.75">
      <c r="A27" s="17">
        <f>IF(B27="Mo",Spieltage!$B$23,IF(B27="Di",Spieltage!$B$24,IF(B27="Mi",Spieltage!$B$25,IF(B27="Do",Spieltage!$B$26,IF(B27="Fr",Spieltage!$B$27,"")))))</f>
        <v>41556</v>
      </c>
      <c r="B27" t="str">
        <f>VLOOKUP(2,KKwest,3,FALSE)</f>
        <v>Mi</v>
      </c>
      <c r="C27" s="19">
        <f>VLOOKUP(2,KKwest,4,FALSE)</f>
        <v>0.8333333333333334</v>
      </c>
      <c r="D27" t="str">
        <f>VLOOKUP(2,KKwest,2,FALSE)</f>
        <v>SG Düppenweiler/Hargarten</v>
      </c>
      <c r="E27" s="18" t="s">
        <v>35</v>
      </c>
      <c r="F27" t="str">
        <f>VLOOKUP(3,KKwest,2,FALSE)</f>
        <v>TTC Wallerfangen 2</v>
      </c>
      <c r="G27" s="17">
        <f>IF(H27="Mo",Spieltage!$F$23,IF(H27="Di",Spieltage!$F$24,IF(H27="Mi",Spieltage!$F$25,IF(H27="Do",Spieltage!$F$26,IF(H27="Fr",Spieltage!$F$27,"")))))</f>
        <v>41675</v>
      </c>
      <c r="H27" t="str">
        <f>VLOOKUP(3,KKwest,3,FALSE)</f>
        <v>Mi</v>
      </c>
      <c r="I27" s="19">
        <f>VLOOKUP(3,KKwest,4,FALSE)</f>
        <v>0.8333333333333334</v>
      </c>
    </row>
    <row r="28" spans="1:9" ht="12.75">
      <c r="A28" s="17">
        <f>IF(B28="Mo",Spieltage!$B$23,IF(B28="Di",Spieltage!$B$24,IF(B28="Mi",Spieltage!$B$25,IF(B28="Do",Spieltage!$B$26,IF(B28="Fr",Spieltage!$B$27,"")))))</f>
        <v>41557</v>
      </c>
      <c r="B28" t="str">
        <f>VLOOKUP(7,KKwest,3,FALSE)</f>
        <v>Do</v>
      </c>
      <c r="C28" s="19">
        <f>VLOOKUP(7,KKwest,4,FALSE)</f>
        <v>0.8333333333333334</v>
      </c>
      <c r="D28" t="str">
        <f>VLOOKUP(7,KKwest,2,FALSE)</f>
        <v>TTC Rehlingen 2</v>
      </c>
      <c r="E28" s="18" t="s">
        <v>35</v>
      </c>
      <c r="F28" t="str">
        <f>VLOOKUP(5,KKwest,2,FALSE)</f>
        <v>TTG Dillingen 4</v>
      </c>
      <c r="G28" s="17">
        <f>IF(H28="Mo",Spieltage!$F$23,IF(H28="Di",Spieltage!$F$24,IF(H28="Mi",Spieltage!$F$25,IF(H28="Do",Spieltage!$F$26,IF(H28="Fr",Spieltage!$F$27,"")))))</f>
        <v>41675</v>
      </c>
      <c r="H28" t="str">
        <f>VLOOKUP(5,KKwest,3,FALSE)</f>
        <v>Mi</v>
      </c>
      <c r="I28" s="19">
        <f>VLOOKUP(5,KKwest,4,FALSE)</f>
        <v>0.8125</v>
      </c>
    </row>
    <row r="29" spans="1:9" ht="12.75">
      <c r="A29" s="17">
        <f>IF(B29="Mo",Spieltage!$B$23,IF(B29="Di",Spieltage!$B$24,IF(B29="Mi",Spieltage!$B$25,IF(B29="Do",Spieltage!$B$26,IF(B29="Fr",Spieltage!$B$27,"")))))</f>
      </c>
      <c r="B29" t="str">
        <f>VLOOKUP(8,KKwest,3,FALSE)</f>
        <v> </v>
      </c>
      <c r="C29" s="19" t="str">
        <f>VLOOKUP(8,KKwest,4,FALSE)</f>
        <v> </v>
      </c>
      <c r="D29" t="str">
        <f>VLOOKUP(8,KKwest,2,FALSE)</f>
        <v>spielfrei</v>
      </c>
      <c r="E29" s="18" t="s">
        <v>35</v>
      </c>
      <c r="F29" t="str">
        <f>VLOOKUP(10,KKwest,2,FALSE)</f>
        <v>spielfrei</v>
      </c>
      <c r="G29" s="17">
        <f>IF(H29="Mo",Spieltage!$F$23,IF(H29="Di",Spieltage!$F$24,IF(H29="Mi",Spieltage!$F$25,IF(H29="Do",Spieltage!$F$26,IF(H29="Fr",Spieltage!$F$27,"")))))</f>
      </c>
      <c r="H29" t="str">
        <f>VLOOKUP(10,KKwest,3,FALSE)</f>
        <v> </v>
      </c>
      <c r="I29" s="19" t="str">
        <f>VLOOKUP(10,KKwest,4,FALSE)</f>
        <v> </v>
      </c>
    </row>
    <row r="30" spans="1:9" ht="12.75">
      <c r="A30" s="17">
        <f>IF(B30="Mo",Spieltage!$B$23,IF(B30="Di",Spieltage!$B$24,IF(B30="Mi",Spieltage!$B$25,IF(B30="Do",Spieltage!$B$26,IF(B30="Fr",Spieltage!$B$27,"")))))</f>
      </c>
      <c r="B30" t="str">
        <f>VLOOKUP(9,KKwest,3,FALSE)</f>
        <v> </v>
      </c>
      <c r="C30" s="19" t="str">
        <f>VLOOKUP(9,KKwest,4,FALSE)</f>
        <v> </v>
      </c>
      <c r="D30" t="str">
        <f>VLOOKUP(9,KKwest,2,FALSE)</f>
        <v>spielfrei</v>
      </c>
      <c r="E30" s="18" t="s">
        <v>35</v>
      </c>
      <c r="F30" t="str">
        <f>VLOOKUP(4,KKwest,2,FALSE)</f>
        <v>SG Saarlouis-Roden/Beaumarais</v>
      </c>
      <c r="G30" s="17">
        <f>IF(H30="Mo",Spieltage!$F$23,IF(H30="Di",Spieltage!$F$24,IF(H30="Mi",Spieltage!$F$25,IF(H30="Do",Spieltage!$F$26,IF(H30="Fr",Spieltage!$F$27,"")))))</f>
        <v>41676</v>
      </c>
      <c r="H30" t="str">
        <f>VLOOKUP(4,KKwest,3,FALSE)</f>
        <v>Do</v>
      </c>
      <c r="I30" s="19">
        <f>VLOOKUP(4,KKwest,4,FALSE)</f>
        <v>0.8125</v>
      </c>
    </row>
    <row r="32" spans="1:9" ht="12.75">
      <c r="A32" s="17">
        <f>IF(B32="Mo",Spieltage!$B$28,IF(B32="Di",Spieltage!$B$29,IF(B32="Mi",Spieltage!$B$30,IF(B32="Do",Spieltage!$B$31,IF(B32="Fr",Spieltage!$B$32,"")))))</f>
        <v>41563</v>
      </c>
      <c r="B32" t="str">
        <f>VLOOKUP(3,KKwest,3,FALSE)</f>
        <v>Mi</v>
      </c>
      <c r="C32" s="19">
        <f>VLOOKUP(3,KKwest,4,FALSE)</f>
        <v>0.8333333333333334</v>
      </c>
      <c r="D32" t="str">
        <f>VLOOKUP(3,KKwest,2,FALSE)</f>
        <v>TTC Wallerfangen 2</v>
      </c>
      <c r="E32" s="18" t="s">
        <v>35</v>
      </c>
      <c r="F32" t="str">
        <f>VLOOKUP(8,KKwest,2,FALSE)</f>
        <v>spielfrei</v>
      </c>
      <c r="G32" s="17">
        <f>IF(H32="Mo",Spieltage!$F$28,IF(H32="Di",Spieltage!$F$29,IF(H32="Mi",Spieltage!$F$30,IF(H32="Do",Spieltage!$F$31,IF(H32="Fr",Spieltage!$F$32,"")))))</f>
      </c>
      <c r="H32" t="str">
        <f>VLOOKUP(8,KKwest,3,FALSE)</f>
        <v> </v>
      </c>
      <c r="I32" s="19" t="str">
        <f>VLOOKUP(8,KKwest,4,FALSE)</f>
        <v> </v>
      </c>
    </row>
    <row r="33" spans="1:9" ht="12.75">
      <c r="A33" s="17">
        <f>IF(B33="Mo",Spieltage!$B$28,IF(B33="Di",Spieltage!$B$29,IF(B33="Mi",Spieltage!$B$30,IF(B33="Do",Spieltage!$B$31,IF(B33="Fr",Spieltage!$B$32,"")))))</f>
        <v>41564</v>
      </c>
      <c r="B33" t="str">
        <f>VLOOKUP(4,KKwest,3,FALSE)</f>
        <v>Do</v>
      </c>
      <c r="C33" s="19">
        <f>VLOOKUP(4,KKwest,4,FALSE)</f>
        <v>0.8125</v>
      </c>
      <c r="D33" t="str">
        <f>VLOOKUP(4,KKwest,2,FALSE)</f>
        <v>SG Saarlouis-Roden/Beaumarais</v>
      </c>
      <c r="E33" s="18" t="s">
        <v>35</v>
      </c>
      <c r="F33" t="str">
        <f>VLOOKUP(2,KKwest,2,FALSE)</f>
        <v>SG Düppenweiler/Hargarten</v>
      </c>
      <c r="G33" s="17">
        <f>IF(H33="Mo",Spieltage!$F$28,IF(H33="Di",Spieltage!$F$29,IF(H33="Mi",Spieltage!$F$30,IF(H33="Do",Spieltage!$F$31,IF(H33="Fr",Spieltage!$F$32,"")))))</f>
        <v>41682</v>
      </c>
      <c r="H33" t="str">
        <f>VLOOKUP(2,KKwest,3,FALSE)</f>
        <v>Mi</v>
      </c>
      <c r="I33" s="19">
        <f>VLOOKUP(2,KKwest,4,FALSE)</f>
        <v>0.8333333333333334</v>
      </c>
    </row>
    <row r="34" spans="1:9" ht="12.75">
      <c r="A34" s="17">
        <f>IF(B34="Mo",Spieltage!$B$28,IF(B34="Di",Spieltage!$B$29,IF(B34="Mi",Spieltage!$B$30,IF(B34="Do",Spieltage!$B$31,IF(B34="Fr",Spieltage!$B$32,"")))))</f>
        <v>41563</v>
      </c>
      <c r="B34" t="str">
        <f>VLOOKUP(5,KKwest,3,FALSE)</f>
        <v>Mi</v>
      </c>
      <c r="C34" s="19">
        <f>VLOOKUP(5,KKwest,4,FALSE)</f>
        <v>0.8125</v>
      </c>
      <c r="D34" t="str">
        <f>VLOOKUP(5,KKwest,2,FALSE)</f>
        <v>TTG Dillingen 4</v>
      </c>
      <c r="E34" s="18" t="s">
        <v>35</v>
      </c>
      <c r="F34" t="str">
        <f>VLOOKUP(9,KKwest,2,FALSE)</f>
        <v>spielfrei</v>
      </c>
      <c r="G34" s="17">
        <f>IF(H34="Mo",Spieltage!$F$28,IF(H34="Di",Spieltage!$F$29,IF(H34="Mi",Spieltage!$F$30,IF(H34="Do",Spieltage!$F$31,IF(H34="Fr",Spieltage!$F$32,"")))))</f>
      </c>
      <c r="H34" t="str">
        <f>VLOOKUP(9,KKwest,3,FALSE)</f>
        <v> </v>
      </c>
      <c r="I34" s="19" t="str">
        <f>VLOOKUP(9,KKwest,4,FALSE)</f>
        <v> </v>
      </c>
    </row>
    <row r="35" spans="1:9" ht="12.75">
      <c r="A35" s="17">
        <f>IF(B35="Mo",Spieltage!$B$28,IF(B35="Di",Spieltage!$B$29,IF(B35="Mi",Spieltage!$B$30,IF(B35="Do",Spieltage!$B$31,IF(B35="Fr",Spieltage!$B$32,"")))))</f>
        <v>41563</v>
      </c>
      <c r="B35" t="str">
        <f>VLOOKUP(6,KKwest,3,FALSE)</f>
        <v>Mi</v>
      </c>
      <c r="C35" s="19">
        <f>VLOOKUP(6,KKwest,4,FALSE)</f>
        <v>0.8125</v>
      </c>
      <c r="D35" t="str">
        <f>VLOOKUP(6,KKwest,2,FALSE)</f>
        <v>TTV Wadgassen </v>
      </c>
      <c r="E35" s="18" t="s">
        <v>35</v>
      </c>
      <c r="F35" t="str">
        <f>VLOOKUP(7,KKwest,2,FALSE)</f>
        <v>TTC Rehlingen 2</v>
      </c>
      <c r="G35" s="17">
        <f>IF(H35="Mo",Spieltage!$F$28,IF(H35="Di",Spieltage!$F$29,IF(H35="Mi",Spieltage!$F$30,IF(H35="Do",Spieltage!$F$31,IF(H35="Fr",Spieltage!$F$32,"")))))</f>
        <v>41683</v>
      </c>
      <c r="H35" t="str">
        <f>VLOOKUP(7,KKwest,3,FALSE)</f>
        <v>Do</v>
      </c>
      <c r="I35" s="19">
        <f>VLOOKUP(7,KKwest,4,FALSE)</f>
        <v>0.8333333333333334</v>
      </c>
    </row>
    <row r="36" spans="1:9" ht="12.75">
      <c r="A36" s="17">
        <f>IF(B36="Mo",Spieltage!$B$28,IF(B36="Di",Spieltage!$B$29,IF(B36="Mi",Spieltage!$B$30,IF(B36="Do",Spieltage!$B$31,IF(B36="Fr",Spieltage!$B$32,"")))))</f>
      </c>
      <c r="B36" t="str">
        <f>VLOOKUP(10,KKwest,3,FALSE)</f>
        <v> </v>
      </c>
      <c r="C36" s="19" t="str">
        <f>VLOOKUP(10,KKwest,4,FALSE)</f>
        <v> </v>
      </c>
      <c r="D36" t="str">
        <f>VLOOKUP(10,KKwest,2,FALSE)</f>
        <v>spielfrei</v>
      </c>
      <c r="E36" s="18" t="s">
        <v>35</v>
      </c>
      <c r="F36" t="str">
        <f>VLOOKUP(1,KKwest,2,FALSE)</f>
        <v>TTG/DJK Ford Saarlouis </v>
      </c>
      <c r="G36" s="17">
        <f>IF(H36="Mo",Spieltage!$F$28,IF(H36="Di",Spieltage!$F$29,IF(H36="Mi",Spieltage!$F$30,IF(H36="Do",Spieltage!$F$31,IF(H36="Fr",Spieltage!$F$32,"")))))</f>
        <v>41683</v>
      </c>
      <c r="H36" t="str">
        <f>VLOOKUP(1,KKwest,3,FALSE)</f>
        <v>Do</v>
      </c>
      <c r="I36" s="19">
        <f>VLOOKUP(1,KKwest,4,FALSE)</f>
        <v>0.8125</v>
      </c>
    </row>
    <row r="38" spans="1:9" ht="12.75">
      <c r="A38" s="17">
        <f>IF(B38="Mo",Spieltage!$B$33,IF(B38="Di",Spieltage!$B$34,IF(B38="Mi",Spieltage!$B$35,IF(B38="Do",Spieltage!$B$36,IF(B38="Fr",Spieltage!$B$37,"")))))</f>
        <v>41585</v>
      </c>
      <c r="B38" t="str">
        <f>VLOOKUP(1,KKwest,3,FALSE)</f>
        <v>Do</v>
      </c>
      <c r="C38" s="19">
        <f>VLOOKUP(1,KKwest,4,FALSE)</f>
        <v>0.8125</v>
      </c>
      <c r="D38" t="str">
        <f>VLOOKUP(1,KKwest,2,FALSE)</f>
        <v>TTG/DJK Ford Saarlouis </v>
      </c>
      <c r="E38" s="18" t="s">
        <v>35</v>
      </c>
      <c r="F38" t="str">
        <f>VLOOKUP(5,KKwest,2,FALSE)</f>
        <v>TTG Dillingen 4</v>
      </c>
      <c r="G38" s="17">
        <f>IF(H38="Mo",Spieltage!$F$33,IF(H38="Di",Spieltage!$F$34,IF(H38="Mi",Spieltage!$F$35,IF(H38="Do",Spieltage!$F$36,IF(H38="Fr",Spieltage!$F$37,"")))))</f>
        <v>41689</v>
      </c>
      <c r="H38" t="str">
        <f>VLOOKUP(5,KKwest,3,FALSE)</f>
        <v>Mi</v>
      </c>
      <c r="I38" s="19">
        <f>VLOOKUP(5,KKwest,4,FALSE)</f>
        <v>0.8125</v>
      </c>
    </row>
    <row r="39" spans="1:9" ht="12.75">
      <c r="A39" s="17">
        <f>IF(B39="Mo",Spieltage!$B$33,IF(B39="Di",Spieltage!$B$34,IF(B39="Mi",Spieltage!$B$35,IF(B39="Do",Spieltage!$B$36,IF(B39="Fr",Spieltage!$B$37,"")))))</f>
        <v>41584</v>
      </c>
      <c r="B39" t="str">
        <f>VLOOKUP(2,KKwest,3,FALSE)</f>
        <v>Mi</v>
      </c>
      <c r="C39" s="19">
        <f>VLOOKUP(2,KKwest,4,FALSE)</f>
        <v>0.8333333333333334</v>
      </c>
      <c r="D39" t="str">
        <f>VLOOKUP(2,KKwest,2,FALSE)</f>
        <v>SG Düppenweiler/Hargarten</v>
      </c>
      <c r="E39" s="18" t="s">
        <v>35</v>
      </c>
      <c r="F39" t="str">
        <f>VLOOKUP(10,KKwest,2,FALSE)</f>
        <v>spielfrei</v>
      </c>
      <c r="G39" s="17">
        <f>IF(H39="Mo",Spieltage!$F$33,IF(H39="Di",Spieltage!$F$34,IF(H39="Mi",Spieltage!$F$35,IF(H39="Do",Spieltage!$F$36,IF(H39="Fr",Spieltage!$F$37,"")))))</f>
      </c>
      <c r="H39" t="str">
        <f>VLOOKUP(10,KKwest,3,FALSE)</f>
        <v> </v>
      </c>
      <c r="I39" s="19" t="str">
        <f>VLOOKUP(10,KKwest,4,FALSE)</f>
        <v> </v>
      </c>
    </row>
    <row r="40" spans="1:9" ht="12.75">
      <c r="A40" s="17">
        <f>IF(B40="Mo",Spieltage!$B$33,IF(B40="Di",Spieltage!$B$34,IF(B40="Mi",Spieltage!$B$35,IF(B40="Do",Spieltage!$B$36,IF(B40="Fr",Spieltage!$B$37,"")))))</f>
        <v>41584</v>
      </c>
      <c r="B40" t="str">
        <f>VLOOKUP(3,KKwest,3,FALSE)</f>
        <v>Mi</v>
      </c>
      <c r="C40" s="19">
        <f>VLOOKUP(3,KKwest,4,FALSE)</f>
        <v>0.8333333333333334</v>
      </c>
      <c r="D40" t="str">
        <f>VLOOKUP(3,KKwest,2,FALSE)</f>
        <v>TTC Wallerfangen 2</v>
      </c>
      <c r="E40" s="18" t="s">
        <v>35</v>
      </c>
      <c r="F40" t="str">
        <f>VLOOKUP(4,KKwest,2,FALSE)</f>
        <v>SG Saarlouis-Roden/Beaumarais</v>
      </c>
      <c r="G40" s="17">
        <f>IF(H40="Mo",Spieltage!$F$33,IF(H40="Di",Spieltage!$F$34,IF(H40="Mi",Spieltage!$F$35,IF(H40="Do",Spieltage!$F$36,IF(H40="Fr",Spieltage!$F$37,"")))))</f>
        <v>41690</v>
      </c>
      <c r="H40" t="str">
        <f>VLOOKUP(4,KKwest,3,FALSE)</f>
        <v>Do</v>
      </c>
      <c r="I40" s="19">
        <f>VLOOKUP(4,KKwest,4,FALSE)</f>
        <v>0.8125</v>
      </c>
    </row>
    <row r="41" spans="1:9" ht="12.75">
      <c r="A41" s="17">
        <f>IF(B41="Mo",Spieltage!$B$33,IF(B41="Di",Spieltage!$B$34,IF(B41="Mi",Spieltage!$B$35,IF(B41="Do",Spieltage!$B$36,IF(B41="Fr",Spieltage!$B$37,"")))))</f>
      </c>
      <c r="B41" t="str">
        <f>VLOOKUP(8,KKwest,3,FALSE)</f>
        <v> </v>
      </c>
      <c r="C41" s="19" t="str">
        <f>VLOOKUP(8,KKwest,4,FALSE)</f>
        <v> </v>
      </c>
      <c r="D41" t="str">
        <f>VLOOKUP(8,KKwest,2,FALSE)</f>
        <v>spielfrei</v>
      </c>
      <c r="E41" s="18" t="s">
        <v>35</v>
      </c>
      <c r="F41" t="str">
        <f>VLOOKUP(7,KKwest,2,FALSE)</f>
        <v>TTC Rehlingen 2</v>
      </c>
      <c r="G41" s="17">
        <f>IF(H41="Mo",Spieltage!$F$33,IF(H41="Di",Spieltage!$F$34,IF(H41="Mi",Spieltage!$F$35,IF(H41="Do",Spieltage!$F$36,IF(H41="Fr",Spieltage!$F$37,"")))))</f>
        <v>41690</v>
      </c>
      <c r="H41" t="str">
        <f>VLOOKUP(7,KKwest,3,FALSE)</f>
        <v>Do</v>
      </c>
      <c r="I41" s="19">
        <f>VLOOKUP(7,KKwest,4,FALSE)</f>
        <v>0.8333333333333334</v>
      </c>
    </row>
    <row r="42" spans="1:9" ht="12.75">
      <c r="A42" s="17">
        <f>IF(B42="Mo",Spieltage!$B$33,IF(B42="Di",Spieltage!$B$34,IF(B42="Mi",Spieltage!$B$35,IF(B42="Do",Spieltage!$B$36,IF(B42="Fr",Spieltage!$B$37,"")))))</f>
      </c>
      <c r="B42" t="str">
        <f>VLOOKUP(9,KKwest,3,FALSE)</f>
        <v> </v>
      </c>
      <c r="C42" s="19" t="str">
        <f>VLOOKUP(9,KKwest,4,FALSE)</f>
        <v> </v>
      </c>
      <c r="D42" t="str">
        <f>VLOOKUP(9,KKwest,2,FALSE)</f>
        <v>spielfrei</v>
      </c>
      <c r="E42" s="18" t="s">
        <v>35</v>
      </c>
      <c r="F42" t="str">
        <f>VLOOKUP(6,KKwest,2,FALSE)</f>
        <v>TTV Wadgassen </v>
      </c>
      <c r="G42" s="17">
        <f>IF(H42="Mo",Spieltage!$F$33,IF(H42="Di",Spieltage!$F$34,IF(H42="Mi",Spieltage!$F$35,IF(H42="Do",Spieltage!$F$36,IF(H42="Fr",Spieltage!$F$37,"")))))</f>
        <v>41689</v>
      </c>
      <c r="H42" t="str">
        <f>VLOOKUP(6,KKwest,3,FALSE)</f>
        <v>Mi</v>
      </c>
      <c r="I42" s="19">
        <f>VLOOKUP(6,KKwest,4,FALSE)</f>
        <v>0.8125</v>
      </c>
    </row>
    <row r="44" spans="1:9" ht="12.75">
      <c r="A44" s="17">
        <f>IF(B44="Mo",Spieltage!$B$38,IF(B44="Di",Spieltage!$B$39,IF(B44="Mi",Spieltage!$B$40,IF(B44="Do",Spieltage!$B$41,IF(B44="Fr",Spieltage!$B$42,"")))))</f>
        <v>41592</v>
      </c>
      <c r="B44" t="str">
        <f>VLOOKUP(4,KKwest,3,FALSE)</f>
        <v>Do</v>
      </c>
      <c r="C44" s="19">
        <f>VLOOKUP(4,KKwest,4,FALSE)</f>
        <v>0.8125</v>
      </c>
      <c r="D44" t="str">
        <f>VLOOKUP(4,KKwest,2,FALSE)</f>
        <v>SG Saarlouis-Roden/Beaumarais</v>
      </c>
      <c r="E44" s="18" t="s">
        <v>35</v>
      </c>
      <c r="F44" t="str">
        <f>VLOOKUP(1,KKwest,2,FALSE)</f>
        <v>TTG/DJK Ford Saarlouis </v>
      </c>
      <c r="G44" s="17">
        <f>IF(H44="Mo",Spieltage!$F$38,IF(H44="Di",Spieltage!$F$39,IF(H44="Mi",Spieltage!$F$40,IF(H44="Do",Spieltage!$F$41,IF(H44="Fr",Spieltage!$F$42,"")))))</f>
        <v>41711</v>
      </c>
      <c r="H44" t="str">
        <f>VLOOKUP(1,KKwest,3,FALSE)</f>
        <v>Do</v>
      </c>
      <c r="I44" s="19">
        <f>VLOOKUP(1,KKwest,4,FALSE)</f>
        <v>0.8125</v>
      </c>
    </row>
    <row r="45" spans="1:9" ht="12.75">
      <c r="A45" s="17">
        <f>IF(B45="Mo",Spieltage!$B$38,IF(B45="Di",Spieltage!$B$39,IF(B45="Mi",Spieltage!$B$40,IF(B45="Do",Spieltage!$B$41,IF(B45="Fr",Spieltage!$B$42,"")))))</f>
        <v>41591</v>
      </c>
      <c r="B45" t="str">
        <f>VLOOKUP(5,KKwest,3,FALSE)</f>
        <v>Mi</v>
      </c>
      <c r="C45" s="19">
        <f>VLOOKUP(5,KKwest,4,FALSE)</f>
        <v>0.8125</v>
      </c>
      <c r="D45" t="str">
        <f>VLOOKUP(5,KKwest,2,FALSE)</f>
        <v>TTG Dillingen 4</v>
      </c>
      <c r="E45" s="18" t="s">
        <v>35</v>
      </c>
      <c r="F45" t="str">
        <f>VLOOKUP(2,KKwest,2,FALSE)</f>
        <v>SG Düppenweiler/Hargarten</v>
      </c>
      <c r="G45" s="17">
        <f>IF(H45="Mo",Spieltage!$F$38,IF(H45="Di",Spieltage!$F$39,IF(H45="Mi",Spieltage!$F$40,IF(H45="Do",Spieltage!$F$41,IF(H45="Fr",Spieltage!$F$42,"")))))</f>
        <v>41710</v>
      </c>
      <c r="H45" t="str">
        <f>VLOOKUP(2,KKwest,3,FALSE)</f>
        <v>Mi</v>
      </c>
      <c r="I45" s="19">
        <f>VLOOKUP(2,KKwest,4,FALSE)</f>
        <v>0.8333333333333334</v>
      </c>
    </row>
    <row r="46" spans="1:9" ht="12.75">
      <c r="A46" s="17">
        <f>IF(B46="Mo",Spieltage!$B$38,IF(B46="Di",Spieltage!$B$39,IF(B46="Mi",Spieltage!$B$40,IF(B46="Do",Spieltage!$B$41,IF(B46="Fr",Spieltage!$B$42,"")))))</f>
        <v>41591</v>
      </c>
      <c r="B46" t="str">
        <f>VLOOKUP(6,KKwest,3,FALSE)</f>
        <v>Mi</v>
      </c>
      <c r="C46" s="19">
        <f>VLOOKUP(6,KKwest,4,FALSE)</f>
        <v>0.8125</v>
      </c>
      <c r="D46" t="str">
        <f>VLOOKUP(6,KKwest,2,FALSE)</f>
        <v>TTV Wadgassen </v>
      </c>
      <c r="E46" s="18" t="s">
        <v>35</v>
      </c>
      <c r="F46" t="str">
        <f>VLOOKUP(8,KKwest,2,FALSE)</f>
        <v>spielfrei</v>
      </c>
      <c r="G46" s="17">
        <f>IF(H46="Mo",Spieltage!$F$38,IF(H46="Di",Spieltage!$F$39,IF(H46="Mi",Spieltage!$F$40,IF(H46="Do",Spieltage!$F$41,IF(H46="Fr",Spieltage!$F$42,"")))))</f>
      </c>
      <c r="H46" t="str">
        <f>VLOOKUP(8,KKwest,3,FALSE)</f>
        <v> </v>
      </c>
      <c r="I46" s="19" t="str">
        <f>VLOOKUP(8,KKwest,4,FALSE)</f>
        <v> </v>
      </c>
    </row>
    <row r="47" spans="1:9" ht="12.75">
      <c r="A47" s="17">
        <f>IF(B47="Mo",Spieltage!$B$38,IF(B47="Di",Spieltage!$B$39,IF(B47="Mi",Spieltage!$B$40,IF(B47="Do",Spieltage!$B$41,IF(B47="Fr",Spieltage!$B$42,"")))))</f>
        <v>41592</v>
      </c>
      <c r="B47" t="str">
        <f>VLOOKUP(7,KKwest,3,FALSE)</f>
        <v>Do</v>
      </c>
      <c r="C47" s="19">
        <f>VLOOKUP(7,KKwest,4,FALSE)</f>
        <v>0.8333333333333334</v>
      </c>
      <c r="D47" t="str">
        <f>VLOOKUP(7,KKwest,2,FALSE)</f>
        <v>TTC Rehlingen 2</v>
      </c>
      <c r="E47" s="18" t="s">
        <v>35</v>
      </c>
      <c r="F47" t="str">
        <f>VLOOKUP(9,KKwest,2,FALSE)</f>
        <v>spielfrei</v>
      </c>
      <c r="G47" s="17">
        <f>IF(H47="Mo",Spieltage!$F$38,IF(H47="Di",Spieltage!$F$39,IF(H47="Mi",Spieltage!$F$40,IF(H47="Do",Spieltage!$F$41,IF(H47="Fr",Spieltage!$F$42,"")))))</f>
      </c>
      <c r="H47" t="str">
        <f>VLOOKUP(9,KKwest,3,FALSE)</f>
        <v> </v>
      </c>
      <c r="I47" s="19" t="str">
        <f>VLOOKUP(9,KKwest,4,FALSE)</f>
        <v> </v>
      </c>
    </row>
    <row r="48" spans="1:9" ht="12.75">
      <c r="A48" s="17">
        <f>IF(B48="Mo",Spieltage!$B$38,IF(B48="Di",Spieltage!$B$39,IF(B48="Mi",Spieltage!$B$40,IF(B48="Do",Spieltage!$B$41,IF(B48="Fr",Spieltage!$B$42,"")))))</f>
      </c>
      <c r="B48" t="str">
        <f>VLOOKUP(10,KKwest,3,FALSE)</f>
        <v> </v>
      </c>
      <c r="C48" s="19" t="str">
        <f>VLOOKUP(10,KKwest,4,FALSE)</f>
        <v> </v>
      </c>
      <c r="D48" t="str">
        <f>VLOOKUP(10,KKwest,2,FALSE)</f>
        <v>spielfrei</v>
      </c>
      <c r="E48" s="18" t="s">
        <v>35</v>
      </c>
      <c r="F48" t="str">
        <f>VLOOKUP(3,KKwest,2,FALSE)</f>
        <v>TTC Wallerfangen 2</v>
      </c>
      <c r="G48" s="17">
        <f>IF(H48="Mo",Spieltage!$F$38,IF(H48="Di",Spieltage!$F$39,IF(H48="Mi",Spieltage!$F$40,IF(H48="Do",Spieltage!$F$41,IF(H48="Fr",Spieltage!$F$42,"")))))</f>
        <v>41710</v>
      </c>
      <c r="H48" t="str">
        <f>VLOOKUP(3,KKwest,3,FALSE)</f>
        <v>Mi</v>
      </c>
      <c r="I48" s="19">
        <f>VLOOKUP(3,KKwest,4,FALSE)</f>
        <v>0.8333333333333334</v>
      </c>
    </row>
    <row r="50" spans="1:9" ht="12.75">
      <c r="A50" s="17">
        <f>IF(B50="Mo",Spieltage!$B$43,IF(B50="Di",Spieltage!$B$44,IF(B50="Mi",Spieltage!$B$45,IF(B50="Do",Spieltage!$B$46,IF(B50="Fr",Spieltage!$B$47,"")))))</f>
        <v>40875</v>
      </c>
      <c r="B50" t="str">
        <f>VLOOKUP(1,KKwest,3,FALSE)</f>
        <v>Do</v>
      </c>
      <c r="C50" s="19">
        <f>VLOOKUP(1,KKwest,4,FALSE)</f>
        <v>0.8125</v>
      </c>
      <c r="D50" t="str">
        <f>VLOOKUP(1,KKwest,2,FALSE)</f>
        <v>TTG/DJK Ford Saarlouis </v>
      </c>
      <c r="E50" s="18" t="s">
        <v>35</v>
      </c>
      <c r="F50" t="str">
        <f>VLOOKUP(7,KKwest,2,FALSE)</f>
        <v>TTC Rehlingen 2</v>
      </c>
      <c r="G50" s="17">
        <f>IF(H50="Mo",Spieltage!$F$43,IF(H50="Di",Spieltage!$F$44,IF(H50="Mi",Spieltage!$F$45,IF(H50="Do",Spieltage!$F$46,IF(H50="Fr",Spieltage!$F$47,"")))))</f>
        <v>41725</v>
      </c>
      <c r="H50" t="str">
        <f>VLOOKUP(7,KKwest,3,FALSE)</f>
        <v>Do</v>
      </c>
      <c r="I50" s="19">
        <f>VLOOKUP(7,KKwest,4,FALSE)</f>
        <v>0.8333333333333334</v>
      </c>
    </row>
    <row r="51" spans="1:9" ht="12.75">
      <c r="A51" s="17">
        <f>IF(B51="Mo",Spieltage!$B$43,IF(B51="Di",Spieltage!$B$44,IF(B51="Mi",Spieltage!$B$45,IF(B51="Do",Spieltage!$B$46,IF(B51="Fr",Spieltage!$B$47,"")))))</f>
        <v>40874</v>
      </c>
      <c r="B51" t="str">
        <f>VLOOKUP(2,KKwest,3,FALSE)</f>
        <v>Mi</v>
      </c>
      <c r="C51" s="19">
        <f>VLOOKUP(2,KKwest,4,FALSE)</f>
        <v>0.8333333333333334</v>
      </c>
      <c r="D51" t="str">
        <f>VLOOKUP(2,KKwest,2,FALSE)</f>
        <v>SG Düppenweiler/Hargarten</v>
      </c>
      <c r="E51" s="18" t="s">
        <v>35</v>
      </c>
      <c r="F51" t="str">
        <f>VLOOKUP(6,KKwest,2,FALSE)</f>
        <v>TTV Wadgassen </v>
      </c>
      <c r="G51" s="17">
        <f>IF(H51="Mo",Spieltage!$F$43,IF(H51="Di",Spieltage!$F$44,IF(H51="Mi",Spieltage!$F$45,IF(H51="Do",Spieltage!$F$46,IF(H51="Fr",Spieltage!$F$47,"")))))</f>
        <v>41724</v>
      </c>
      <c r="H51" t="str">
        <f>VLOOKUP(6,KKwest,3,FALSE)</f>
        <v>Mi</v>
      </c>
      <c r="I51" s="19">
        <f>VLOOKUP(6,KKwest,4,FALSE)</f>
        <v>0.8125</v>
      </c>
    </row>
    <row r="52" spans="1:9" ht="12.75">
      <c r="A52" s="17">
        <f>IF(B52="Mo",Spieltage!$B$43,IF(B52="Di",Spieltage!$B$44,IF(B52="Mi",Spieltage!$B$45,IF(B52="Do",Spieltage!$B$46,IF(B52="Fr",Spieltage!$B$47,"")))))</f>
        <v>40874</v>
      </c>
      <c r="B52" t="str">
        <f>VLOOKUP(3,KKwest,3,FALSE)</f>
        <v>Mi</v>
      </c>
      <c r="C52" s="19">
        <f>VLOOKUP(3,KKwest,4,FALSE)</f>
        <v>0.8333333333333334</v>
      </c>
      <c r="D52" t="str">
        <f>VLOOKUP(3,KKwest,2,FALSE)</f>
        <v>TTC Wallerfangen 2</v>
      </c>
      <c r="E52" s="18" t="s">
        <v>35</v>
      </c>
      <c r="F52" t="str">
        <f>VLOOKUP(5,KKwest,2,FALSE)</f>
        <v>TTG Dillingen 4</v>
      </c>
      <c r="G52" s="17">
        <f>IF(H52="Mo",Spieltage!$F$43,IF(H52="Di",Spieltage!$F$44,IF(H52="Mi",Spieltage!$F$45,IF(H52="Do",Spieltage!$F$46,IF(H52="Fr",Spieltage!$F$47,"")))))</f>
        <v>41724</v>
      </c>
      <c r="H52" t="str">
        <f>VLOOKUP(5,KKwest,3,FALSE)</f>
        <v>Mi</v>
      </c>
      <c r="I52" s="19">
        <f>VLOOKUP(5,KKwest,4,FALSE)</f>
        <v>0.8125</v>
      </c>
    </row>
    <row r="53" spans="1:9" ht="12.75">
      <c r="A53" s="17">
        <f>IF(B53="Mo",Spieltage!$B$43,IF(B53="Di",Spieltage!$B$44,IF(B53="Mi",Spieltage!$B$45,IF(B53="Do",Spieltage!$B$46,IF(B53="Fr",Spieltage!$B$47,"")))))</f>
        <v>40875</v>
      </c>
      <c r="B53" t="str">
        <f>VLOOKUP(4,KKwest,3,FALSE)</f>
        <v>Do</v>
      </c>
      <c r="C53" s="19">
        <f>VLOOKUP(4,KKwest,4,FALSE)</f>
        <v>0.8125</v>
      </c>
      <c r="D53" t="str">
        <f>VLOOKUP(4,KKwest,2,FALSE)</f>
        <v>SG Saarlouis-Roden/Beaumarais</v>
      </c>
      <c r="E53" s="18" t="s">
        <v>35</v>
      </c>
      <c r="F53" t="str">
        <f>VLOOKUP(10,KKwest,2,FALSE)</f>
        <v>spielfrei</v>
      </c>
      <c r="G53" s="17">
        <f>IF(H53="Mo",Spieltage!$F$43,IF(H53="Di",Spieltage!$F$44,IF(H53="Mi",Spieltage!$F$45,IF(H53="Do",Spieltage!$F$46,IF(H53="Fr",Spieltage!$F$47,"")))))</f>
      </c>
      <c r="H53" t="str">
        <f>VLOOKUP(10,KKwest,3,FALSE)</f>
        <v> </v>
      </c>
      <c r="I53" s="19" t="str">
        <f>VLOOKUP(10,KKwest,4,FALSE)</f>
        <v> </v>
      </c>
    </row>
    <row r="54" spans="1:9" ht="12.75">
      <c r="A54" s="17">
        <f>IF(B54="Mo",Spieltage!$B$43,IF(B54="Di",Spieltage!$B$44,IF(B54="Mi",Spieltage!$B$45,IF(B54="Do",Spieltage!$B$46,IF(B54="Fr",Spieltage!$B$47,"")))))</f>
      </c>
      <c r="B54" t="str">
        <f>VLOOKUP(9,KKwest,3,FALSE)</f>
        <v> </v>
      </c>
      <c r="C54" s="19" t="str">
        <f>VLOOKUP(9,KKwest,4,FALSE)</f>
        <v> </v>
      </c>
      <c r="D54" t="str">
        <f>VLOOKUP(9,KKwest,2,FALSE)</f>
        <v>spielfrei</v>
      </c>
      <c r="E54" s="18" t="s">
        <v>35</v>
      </c>
      <c r="F54" t="str">
        <f>VLOOKUP(8,KKwest,2,FALSE)</f>
        <v>spielfrei</v>
      </c>
      <c r="G54" s="17">
        <f>IF(H54="Mo",Spieltage!$F$43,IF(H54="Di",Spieltage!$F$44,IF(H54="Mi",Spieltage!$F$45,IF(H54="Do",Spieltage!$F$46,IF(H54="Fr",Spieltage!$F$47,"")))))</f>
      </c>
      <c r="H54" t="str">
        <f>VLOOKUP(8,KKwest,3,FALSE)</f>
        <v> </v>
      </c>
      <c r="I54" s="19" t="str">
        <f>VLOOKUP(8,KKwest,4,FALSE)</f>
        <v> </v>
      </c>
    </row>
    <row r="56" spans="1:9" ht="12.75">
      <c r="A56" s="17">
        <f>IF(B56="Mo",Spieltage!$B$48,IF(B56="Di",Spieltage!$B$49,IF(B56="Mi",Spieltage!$B$50,IF(B56="Do",Spieltage!$B$51,IF(B56="Fr",Spieltage!$B$52,"")))))</f>
        <v>41612</v>
      </c>
      <c r="B56" t="str">
        <f>VLOOKUP(5,KKwest,3,FALSE)</f>
        <v>Mi</v>
      </c>
      <c r="C56" s="19">
        <f>VLOOKUP(5,KKwest,4,FALSE)</f>
        <v>0.8125</v>
      </c>
      <c r="D56" t="str">
        <f>VLOOKUP(5,KKwest,2,FALSE)</f>
        <v>TTG Dillingen 4</v>
      </c>
      <c r="E56" s="18" t="s">
        <v>35</v>
      </c>
      <c r="F56" t="str">
        <f>VLOOKUP(4,KKwest,2,FALSE)</f>
        <v>SG Saarlouis-Roden/Beaumarais</v>
      </c>
      <c r="G56" s="17">
        <f>IF(H56="Mo",Spieltage!$F$48,IF(H56="Di",Spieltage!$F$49,IF(H56="Mi",Spieltage!$F$50,IF(H56="Do",Spieltage!$F$51,IF(H56="Fr",Spieltage!$F$52,"")))))</f>
        <v>41732</v>
      </c>
      <c r="H56" t="str">
        <f>VLOOKUP(4,KKwest,3,FALSE)</f>
        <v>Do</v>
      </c>
      <c r="I56" s="19">
        <f>VLOOKUP(4,KKwest,4,FALSE)</f>
        <v>0.8125</v>
      </c>
    </row>
    <row r="57" spans="1:9" ht="12.75">
      <c r="A57" s="17">
        <f>IF(B57="Mo",Spieltage!$B$48,IF(B57="Di",Spieltage!$B$49,IF(B57="Mi",Spieltage!$B$50,IF(B57="Do",Spieltage!$B$51,IF(B57="Fr",Spieltage!$B$52,"")))))</f>
        <v>41612</v>
      </c>
      <c r="B57" t="str">
        <f>VLOOKUP(6,KKwest,3,FALSE)</f>
        <v>Mi</v>
      </c>
      <c r="C57" s="19">
        <f>VLOOKUP(6,KKwest,4,FALSE)</f>
        <v>0.8125</v>
      </c>
      <c r="D57" t="str">
        <f>VLOOKUP(6,KKwest,2,FALSE)</f>
        <v>TTV Wadgassen </v>
      </c>
      <c r="E57" s="18" t="s">
        <v>35</v>
      </c>
      <c r="F57" t="str">
        <f>VLOOKUP(3,KKwest,2,FALSE)</f>
        <v>TTC Wallerfangen 2</v>
      </c>
      <c r="G57" s="17">
        <f>IF(H57="Mo",Spieltage!$F$48,IF(H57="Di",Spieltage!$F$49,IF(H57="Mi",Spieltage!$F$50,IF(H57="Do",Spieltage!$F$51,IF(H57="Fr",Spieltage!$F$52,"")))))</f>
        <v>41731</v>
      </c>
      <c r="H57" t="str">
        <f>VLOOKUP(3,KKwest,3,FALSE)</f>
        <v>Mi</v>
      </c>
      <c r="I57" s="19">
        <f>VLOOKUP(3,KKwest,4,FALSE)</f>
        <v>0.8333333333333334</v>
      </c>
    </row>
    <row r="58" spans="1:9" ht="12.75">
      <c r="A58" s="17">
        <f>IF(B58="Mo",Spieltage!$B$48,IF(B58="Di",Spieltage!$B$49,IF(B58="Mi",Spieltage!$B$50,IF(B58="Do",Spieltage!$B$51,IF(B58="Fr",Spieltage!$B$52,"")))))</f>
        <v>41613</v>
      </c>
      <c r="B58" t="str">
        <f>VLOOKUP(7,KKwest,3,FALSE)</f>
        <v>Do</v>
      </c>
      <c r="C58" s="19">
        <f>VLOOKUP(7,KKwest,4,FALSE)</f>
        <v>0.8333333333333334</v>
      </c>
      <c r="D58" t="str">
        <f>VLOOKUP(7,KKwest,2,FALSE)</f>
        <v>TTC Rehlingen 2</v>
      </c>
      <c r="E58" s="18" t="s">
        <v>35</v>
      </c>
      <c r="F58" t="str">
        <f>VLOOKUP(2,KKwest,2,FALSE)</f>
        <v>SG Düppenweiler/Hargarten</v>
      </c>
      <c r="G58" s="17">
        <f>IF(H58="Mo",Spieltage!$F$48,IF(H58="Di",Spieltage!$F$49,IF(H58="Mi",Spieltage!$F$50,IF(H58="Do",Spieltage!$F$51,IF(H58="Fr",Spieltage!$F$52,"")))))</f>
        <v>41731</v>
      </c>
      <c r="H58" t="str">
        <f>VLOOKUP(2,KKwest,3,FALSE)</f>
        <v>Mi</v>
      </c>
      <c r="I58" s="19">
        <f>VLOOKUP(2,KKwest,4,FALSE)</f>
        <v>0.8333333333333334</v>
      </c>
    </row>
    <row r="59" spans="1:9" ht="12.75">
      <c r="A59" s="17">
        <f>IF(B59="Mo",Spieltage!$B$48,IF(B59="Di",Spieltage!$B$49,IF(B59="Mi",Spieltage!$B$50,IF(B59="Do",Spieltage!$B$51,IF(B59="Fr",Spieltage!$B$52,"")))))</f>
      </c>
      <c r="B59" t="str">
        <f>VLOOKUP(8,KKwest,3,FALSE)</f>
        <v> </v>
      </c>
      <c r="C59" s="19" t="str">
        <f>VLOOKUP(8,KKwest,4,FALSE)</f>
        <v> </v>
      </c>
      <c r="D59" t="str">
        <f>VLOOKUP(8,KKwest,2,FALSE)</f>
        <v>spielfrei</v>
      </c>
      <c r="E59" s="18" t="s">
        <v>35</v>
      </c>
      <c r="F59" t="str">
        <f>VLOOKUP(1,KKwest,2,FALSE)</f>
        <v>TTG/DJK Ford Saarlouis </v>
      </c>
      <c r="G59" s="17">
        <f>IF(H59="Mo",Spieltage!$F$48,IF(H59="Di",Spieltage!$F$49,IF(H59="Mi",Spieltage!$F$50,IF(H59="Do",Spieltage!$F$51,IF(H59="Fr",Spieltage!$F$52,"")))))</f>
        <v>41732</v>
      </c>
      <c r="H59" t="str">
        <f>VLOOKUP(1,KKwest,3,FALSE)</f>
        <v>Do</v>
      </c>
      <c r="I59" s="19">
        <f>VLOOKUP(1,KKwest,4,FALSE)</f>
        <v>0.8125</v>
      </c>
    </row>
    <row r="60" spans="1:9" ht="12.75">
      <c r="A60" s="17">
        <f>IF(B60="Mo",Spieltage!$B$48,IF(B60="Di",Spieltage!$B$49,IF(B60="Mi",Spieltage!$B$50,IF(B60="Do",Spieltage!$B$51,IF(B60="Fr",Spieltage!$B$52,"")))))</f>
      </c>
      <c r="B60" t="str">
        <f>VLOOKUP(10,KKwest,3,FALSE)</f>
        <v> </v>
      </c>
      <c r="C60" s="19" t="str">
        <f>VLOOKUP(10,KKwest,4,FALSE)</f>
        <v> </v>
      </c>
      <c r="D60" t="str">
        <f>VLOOKUP(10,KKwest,2,FALSE)</f>
        <v>spielfrei</v>
      </c>
      <c r="E60" s="18" t="s">
        <v>35</v>
      </c>
      <c r="F60" t="str">
        <f>VLOOKUP(9,KKwest,2,FALSE)</f>
        <v>spielfrei</v>
      </c>
      <c r="G60" s="17">
        <f>IF(H60="Mo",Spieltage!$F$48,IF(H60="Di",Spieltage!$F$49,IF(H60="Mi",Spieltage!$F$50,IF(H60="Do",Spieltage!$F$51,IF(H60="Fr",Spieltage!$F$52,"")))))</f>
      </c>
      <c r="H60" t="str">
        <f>VLOOKUP(9,KKwest,3,FALSE)</f>
        <v> </v>
      </c>
      <c r="I60" s="19" t="str">
        <f>VLOOKUP(9,KKwest,4,FALSE)</f>
        <v> </v>
      </c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2" sqref="A2"/>
    </sheetView>
  </sheetViews>
  <sheetFormatPr defaultColWidth="11.421875" defaultRowHeight="12.75"/>
  <cols>
    <col min="1" max="1" width="10.28125" style="0" customWidth="1"/>
    <col min="2" max="2" width="3.7109375" style="0" customWidth="1"/>
    <col min="3" max="3" width="5.7109375" style="0" customWidth="1"/>
    <col min="4" max="4" width="21.7109375" style="0" customWidth="1"/>
    <col min="5" max="5" width="1.7109375" style="0" customWidth="1"/>
    <col min="6" max="6" width="21.7109375" style="0" customWidth="1"/>
    <col min="7" max="7" width="10.28125" style="0" customWidth="1"/>
    <col min="8" max="8" width="3.7109375" style="0" customWidth="1"/>
    <col min="9" max="9" width="5.7109375" style="0" customWidth="1"/>
  </cols>
  <sheetData>
    <row r="1" spans="1:9" ht="12.75">
      <c r="A1" s="1" t="s">
        <v>31</v>
      </c>
      <c r="I1" s="20" t="s">
        <v>32</v>
      </c>
    </row>
    <row r="2" ht="15.75">
      <c r="D2" s="4" t="s">
        <v>25</v>
      </c>
    </row>
    <row r="4" spans="1:4" ht="15.75">
      <c r="A4" s="4" t="s">
        <v>33</v>
      </c>
      <c r="D4" s="1" t="str">
        <f>Spieltage!A3&amp;" "&amp;Spieltage!B3</f>
        <v>Saison 2013/2014</v>
      </c>
    </row>
    <row r="6" spans="1:7" ht="12.75">
      <c r="A6" s="1" t="s">
        <v>28</v>
      </c>
      <c r="G6" s="1" t="s">
        <v>30</v>
      </c>
    </row>
    <row r="8" spans="1:9" ht="12.75">
      <c r="A8" s="17">
        <f>IF(B8="Mo",Spieltage!$B$8,IF(B8="Di",Spieltage!$B$9,IF(B8="Mi",Spieltage!$B$10,IF(B8="Do",Spieltage!$B$11,IF(B8="Fr",Spieltage!$B$12,"")))))</f>
        <v>41529</v>
      </c>
      <c r="B8" t="str">
        <f>VLOOKUP(1,KKwest,3,FALSE)</f>
        <v>Do</v>
      </c>
      <c r="C8" s="19">
        <f>VLOOKUP(1,KKwest,4,FALSE)</f>
        <v>0.8125</v>
      </c>
      <c r="D8" t="str">
        <f>VLOOKUP(1,KKwest,2,FALSE)</f>
        <v>TTG/DJK Ford Saarlouis </v>
      </c>
      <c r="E8" s="18" t="s">
        <v>35</v>
      </c>
      <c r="F8" t="str">
        <f>VLOOKUP(8,KKwest,2,FALSE)</f>
        <v>spielfrei</v>
      </c>
      <c r="G8" s="17">
        <f>IF(H8="Mo",Spieltage!$F$8,IF(H8="Di",Spieltage!$F$9,IF(H8="Mi",Spieltage!$F$10,IF(H8="Do",Spieltage!$F$11,IF(H8="Fr",Spieltage!$F$12,"")))))</f>
      </c>
      <c r="H8" t="str">
        <f>VLOOKUP(8,KKwest,3,FALSE)</f>
        <v> </v>
      </c>
      <c r="I8" s="19" t="str">
        <f>VLOOKUP(8,KKwest,4,FALSE)</f>
        <v> </v>
      </c>
    </row>
    <row r="9" spans="1:9" ht="12.75">
      <c r="A9" s="17">
        <f>IF(B9="Mo",Spieltage!$B$8,IF(B9="Di",Spieltage!$B$9,IF(B9="Mi",Spieltage!$B$10,IF(B9="Do",Spieltage!$B$11,IF(B9="Fr",Spieltage!$B$12,"")))))</f>
        <v>41528</v>
      </c>
      <c r="B9" t="str">
        <f>VLOOKUP(2,KKwest,3,FALSE)</f>
        <v>Mi</v>
      </c>
      <c r="C9" s="19">
        <f>VLOOKUP(2,KKwest,4,FALSE)</f>
        <v>0.8333333333333334</v>
      </c>
      <c r="D9" t="str">
        <f>VLOOKUP(2,KKwest,2,FALSE)</f>
        <v>SG Düppenweiler/Hargarten</v>
      </c>
      <c r="E9" s="18" t="s">
        <v>35</v>
      </c>
      <c r="F9" t="str">
        <f>VLOOKUP(7,KKwest,2,FALSE)</f>
        <v>TTC Rehlingen 2</v>
      </c>
      <c r="G9" s="17">
        <f>IF(H9="Mo",Spieltage!$F$8,IF(H9="Di",Spieltage!$F$9,IF(H9="Mi",Spieltage!$F$10,IF(H9="Do",Spieltage!$F$11,IF(H9="Fr",Spieltage!$F$12,"")))))</f>
        <v>41648</v>
      </c>
      <c r="H9" t="str">
        <f>VLOOKUP(7,KKwest,3,FALSE)</f>
        <v>Do</v>
      </c>
      <c r="I9" s="19">
        <f>VLOOKUP(7,KKwest,4,FALSE)</f>
        <v>0.8333333333333334</v>
      </c>
    </row>
    <row r="10" spans="1:9" ht="12.75">
      <c r="A10" s="17">
        <f>IF(B10="Mo",Spieltage!$B$8,IF(B10="Di",Spieltage!$B$9,IF(B10="Mi",Spieltage!$B$10,IF(B10="Do",Spieltage!$B$11,IF(B10="Fr",Spieltage!$B$12,"")))))</f>
        <v>41528</v>
      </c>
      <c r="B10" t="str">
        <f>VLOOKUP(3,KKwest,3,FALSE)</f>
        <v>Mi</v>
      </c>
      <c r="C10" s="19">
        <f>VLOOKUP(3,KKwest,4,FALSE)</f>
        <v>0.8333333333333334</v>
      </c>
      <c r="D10" t="str">
        <f>VLOOKUP(3,KKwest,2,FALSE)</f>
        <v>TTC Wallerfangen 2</v>
      </c>
      <c r="E10" s="18" t="s">
        <v>35</v>
      </c>
      <c r="F10" t="str">
        <f>VLOOKUP(6,KKwest,2,FALSE)</f>
        <v>TTV Wadgassen </v>
      </c>
      <c r="G10" s="17">
        <f>IF(H10="Mo",Spieltage!$F$8,IF(H10="Di",Spieltage!$F$9,IF(H10="Mi",Spieltage!$F$10,IF(H10="Do",Spieltage!$F$11,IF(H10="Fr",Spieltage!$F$12,"")))))</f>
        <v>41647</v>
      </c>
      <c r="H10" t="str">
        <f>VLOOKUP(6,KKwest,3,FALSE)</f>
        <v>Mi</v>
      </c>
      <c r="I10" s="19">
        <f>VLOOKUP(6,KKwest,4,FALSE)</f>
        <v>0.8125</v>
      </c>
    </row>
    <row r="11" spans="1:9" ht="12.75">
      <c r="A11" s="17">
        <f>IF(B11="Mo",Spieltage!$B$8,IF(B11="Di",Spieltage!$B$9,IF(B11="Mi",Spieltage!$B$10,IF(B11="Do",Spieltage!$B$11,IF(B11="Fr",Spieltage!$B$12,"")))))</f>
        <v>41529</v>
      </c>
      <c r="B11" t="str">
        <f>VLOOKUP(4,KKwest,3,FALSE)</f>
        <v>Do</v>
      </c>
      <c r="C11" s="19">
        <f>VLOOKUP(4,KKwest,4,FALSE)</f>
        <v>0.8125</v>
      </c>
      <c r="D11" t="str">
        <f>VLOOKUP(4,KKwest,2,FALSE)</f>
        <v>SG Saarlouis-Roden/Beaumarais</v>
      </c>
      <c r="E11" s="18" t="s">
        <v>35</v>
      </c>
      <c r="F11" t="str">
        <f>VLOOKUP(5,KKwest,2,FALSE)</f>
        <v>TTG Dillingen 4</v>
      </c>
      <c r="G11" s="17">
        <f>IF(H11="Mo",Spieltage!$F$8,IF(H11="Di",Spieltage!$F$9,IF(H11="Mi",Spieltage!$F$10,IF(H11="Do",Spieltage!$F$11,IF(H11="Fr",Spieltage!$F$12,"")))))</f>
        <v>41647</v>
      </c>
      <c r="H11" t="str">
        <f>VLOOKUP(5,KKwest,3,FALSE)</f>
        <v>Mi</v>
      </c>
      <c r="I11" s="19">
        <f>VLOOKUP(5,KKwest,4,FALSE)</f>
        <v>0.8125</v>
      </c>
    </row>
    <row r="12" spans="1:9" ht="12.75">
      <c r="A12" s="17">
        <f>IF(B12="Mo",Spieltage!$B$8,IF(B12="Di",Spieltage!$B$9,IF(B12="Mi",Spieltage!$B$10,IF(B12="Do",Spieltage!$B$11,IF(B12="Fr",Spieltage!$B$12,"")))))</f>
      </c>
      <c r="C12" s="19"/>
      <c r="E12" s="18"/>
      <c r="G12" s="17"/>
      <c r="I12" s="19"/>
    </row>
    <row r="13" ht="12.75">
      <c r="E13" s="18"/>
    </row>
    <row r="14" spans="1:9" ht="12.75">
      <c r="A14" s="17">
        <f>IF(B14="Mo",Spieltage!$B$13,IF(B14="Di",Spieltage!$B$14,IF(B14="Mi",Spieltage!$B$15,IF(B14="Do",Spieltage!$B$16,IF(B14="Fr",Spieltage!$B$17,"")))))</f>
        <v>41536</v>
      </c>
      <c r="B14" t="str">
        <f>VLOOKUP(1,KKwest,3,FALSE)</f>
        <v>Do</v>
      </c>
      <c r="C14" s="19">
        <f>VLOOKUP(1,KKwest,4,FALSE)</f>
        <v>0.8125</v>
      </c>
      <c r="D14" t="str">
        <f>VLOOKUP(1,KKwest,2,FALSE)</f>
        <v>TTG/DJK Ford Saarlouis </v>
      </c>
      <c r="E14" s="18" t="s">
        <v>35</v>
      </c>
      <c r="F14" t="str">
        <f>VLOOKUP(2,KKwest,2,FALSE)</f>
        <v>SG Düppenweiler/Hargarten</v>
      </c>
      <c r="G14" s="17">
        <f>IF(H14="Mo",Spieltage!$F$13,IF(H14="Di",Spieltage!$F$14,IF(H14="Mi",Spieltage!$F$15,IF(H14="Do",Spieltage!$F$16,IF(H14="Fr",Spieltage!$F$17,"")))))</f>
        <v>41661</v>
      </c>
      <c r="H14" t="str">
        <f>VLOOKUP(2,KKwest,3,FALSE)</f>
        <v>Mi</v>
      </c>
      <c r="I14" s="19">
        <f>VLOOKUP(2,KKwest,4,FALSE)</f>
        <v>0.8333333333333334</v>
      </c>
    </row>
    <row r="15" spans="1:9" ht="12.75">
      <c r="A15" s="17">
        <f>IF(B15="Mo",Spieltage!$B$13,IF(B15="Di",Spieltage!$B$14,IF(B15="Mi",Spieltage!$B$15,IF(B15="Do",Spieltage!$B$16,IF(B15="Fr",Spieltage!$B$17,"")))))</f>
        <v>41535</v>
      </c>
      <c r="B15" t="str">
        <f>VLOOKUP(6,KKwest,3,FALSE)</f>
        <v>Mi</v>
      </c>
      <c r="C15" s="19">
        <f>VLOOKUP(6,KKwest,4,FALSE)</f>
        <v>0.8125</v>
      </c>
      <c r="D15" t="str">
        <f>VLOOKUP(6,KKwest,2,FALSE)</f>
        <v>TTV Wadgassen </v>
      </c>
      <c r="E15" s="18" t="s">
        <v>35</v>
      </c>
      <c r="F15" t="str">
        <f>VLOOKUP(4,KKwest,2,FALSE)</f>
        <v>SG Saarlouis-Roden/Beaumarais</v>
      </c>
      <c r="G15" s="17">
        <f>IF(H15="Mo",Spieltage!$F$13,IF(H15="Di",Spieltage!$F$14,IF(H15="Mi",Spieltage!$F$15,IF(H15="Do",Spieltage!$F$16,IF(H15="Fr",Spieltage!$F$17,"")))))</f>
        <v>41662</v>
      </c>
      <c r="H15" t="str">
        <f>VLOOKUP(4,KKwest,3,FALSE)</f>
        <v>Do</v>
      </c>
      <c r="I15" s="19">
        <f>VLOOKUP(4,KKwest,4,FALSE)</f>
        <v>0.8125</v>
      </c>
    </row>
    <row r="16" spans="1:9" ht="12.75">
      <c r="A16" s="17">
        <f>IF(B16="Mo",Spieltage!$B$13,IF(B16="Di",Spieltage!$B$14,IF(B16="Mi",Spieltage!$B$15,IF(B16="Do",Spieltage!$B$16,IF(B16="Fr",Spieltage!$B$17,"")))))</f>
        <v>41536</v>
      </c>
      <c r="B16" t="str">
        <f>VLOOKUP(7,KKwest,3,FALSE)</f>
        <v>Do</v>
      </c>
      <c r="C16" s="19">
        <f>VLOOKUP(7,KKwest,4,FALSE)</f>
        <v>0.8333333333333334</v>
      </c>
      <c r="D16" t="str">
        <f>VLOOKUP(7,KKwest,2,FALSE)</f>
        <v>TTC Rehlingen 2</v>
      </c>
      <c r="E16" s="18" t="s">
        <v>35</v>
      </c>
      <c r="F16" t="str">
        <f>VLOOKUP(3,KKwest,2,FALSE)</f>
        <v>TTC Wallerfangen 2</v>
      </c>
      <c r="G16" s="17">
        <f>IF(H16="Mo",Spieltage!$F$13,IF(H16="Di",Spieltage!$F$14,IF(H16="Mi",Spieltage!$F$15,IF(H16="Do",Spieltage!$F$16,IF(H16="Fr",Spieltage!$F$17,"")))))</f>
        <v>41661</v>
      </c>
      <c r="H16" t="str">
        <f>VLOOKUP(3,KKwest,3,FALSE)</f>
        <v>Mi</v>
      </c>
      <c r="I16" s="19">
        <f>VLOOKUP(3,KKwest,4,FALSE)</f>
        <v>0.8333333333333334</v>
      </c>
    </row>
    <row r="17" spans="1:9" ht="12.75">
      <c r="A17" s="17">
        <f>IF(B17="Mo",Spieltage!$B$13,IF(B17="Di",Spieltage!$B$14,IF(B17="Mi",Spieltage!$B$15,IF(B17="Do",Spieltage!$B$16,IF(B17="Fr",Spieltage!$B$17,"")))))</f>
      </c>
      <c r="B17" t="str">
        <f>VLOOKUP(8,KKwest,3,FALSE)</f>
        <v> </v>
      </c>
      <c r="C17" s="19" t="str">
        <f>VLOOKUP(8,KKwest,4,FALSE)</f>
        <v> </v>
      </c>
      <c r="D17" t="str">
        <f>VLOOKUP(8,KKwest,2,FALSE)</f>
        <v>spielfrei</v>
      </c>
      <c r="E17" s="18" t="s">
        <v>35</v>
      </c>
      <c r="F17" t="str">
        <f>VLOOKUP(5,KKwest,2,FALSE)</f>
        <v>TTG Dillingen 4</v>
      </c>
      <c r="G17" s="17">
        <f>IF(H17="Mo",Spieltage!$F$13,IF(H17="Di",Spieltage!$F$14,IF(H17="Mi",Spieltage!$F$15,IF(H17="Do",Spieltage!$F$16,IF(H17="Fr",Spieltage!$F$17,"")))))</f>
        <v>41661</v>
      </c>
      <c r="H17" t="str">
        <f>VLOOKUP(5,KKwest,3,FALSE)</f>
        <v>Mi</v>
      </c>
      <c r="I17" s="19">
        <f>VLOOKUP(5,KKwest,4,FALSE)</f>
        <v>0.8125</v>
      </c>
    </row>
    <row r="18" spans="1:9" ht="12.75">
      <c r="A18" s="17">
        <f>IF(B18="Mo",Spieltage!$B$13,IF(B18="Di",Spieltage!$B$14,IF(B18="Mi",Spieltage!$B$15,IF(B18="Do",Spieltage!$B$16,IF(B18="Fr",Spieltage!$B$17,"")))))</f>
      </c>
      <c r="C18" s="19"/>
      <c r="E18" s="18"/>
      <c r="G18" s="17"/>
      <c r="I18" s="19"/>
    </row>
    <row r="20" spans="1:9" ht="12.75">
      <c r="A20" s="17">
        <f>IF(B20="Mo",Spieltage!$B$18,IF(B20="Di",Spieltage!$B$19,IF(B20="Mi",Spieltage!$B$20,IF(B20="Do",Spieltage!$B$21,IF(B20="Fr",Spieltage!$B$22,"")))))</f>
        <v>41542</v>
      </c>
      <c r="B20" t="str">
        <f>VLOOKUP(2,KKwest,3,FALSE)</f>
        <v>Mi</v>
      </c>
      <c r="C20" s="19">
        <f>VLOOKUP(2,KKwest,4,FALSE)</f>
        <v>0.8333333333333334</v>
      </c>
      <c r="D20" t="str">
        <f>VLOOKUP(2,KKwest,2,FALSE)</f>
        <v>SG Düppenweiler/Hargarten</v>
      </c>
      <c r="E20" s="18" t="s">
        <v>35</v>
      </c>
      <c r="F20" t="str">
        <f>VLOOKUP(8,KKwest,2,FALSE)</f>
        <v>spielfrei</v>
      </c>
      <c r="G20" s="17">
        <f>IF(H20="Mo",Spieltage!$F$18,IF(H20="Di",Spieltage!$F$19,IF(H20="Mi",Spieltage!$F$20,IF(H20="Do",Spieltage!$F$21,IF(H20="Fr",Spieltage!$F$22,"")))))</f>
      </c>
      <c r="H20" t="str">
        <f>VLOOKUP(8,KKwest,3,FALSE)</f>
        <v> </v>
      </c>
      <c r="I20" s="19" t="str">
        <f>VLOOKUP(8,KKwest,4,FALSE)</f>
        <v> </v>
      </c>
    </row>
    <row r="21" spans="1:9" ht="12.75">
      <c r="A21" s="17">
        <f>IF(B21="Mo",Spieltage!$B$18,IF(B21="Di",Spieltage!$B$19,IF(B21="Mi",Spieltage!$B$20,IF(B21="Do",Spieltage!$B$21,IF(B21="Fr",Spieltage!$B$22,"")))))</f>
        <v>41542</v>
      </c>
      <c r="B21" t="str">
        <f>VLOOKUP(3,KKwest,3,FALSE)</f>
        <v>Mi</v>
      </c>
      <c r="C21" s="19">
        <f>VLOOKUP(3,KKwest,4,FALSE)</f>
        <v>0.8333333333333334</v>
      </c>
      <c r="D21" t="str">
        <f>VLOOKUP(3,KKwest,2,FALSE)</f>
        <v>TTC Wallerfangen 2</v>
      </c>
      <c r="E21" s="18" t="s">
        <v>35</v>
      </c>
      <c r="F21" t="str">
        <f>VLOOKUP(1,KKwest,2,FALSE)</f>
        <v>TTG/DJK Ford Saarlouis </v>
      </c>
      <c r="G21" s="17">
        <f>IF(H21="Mo",Spieltage!$F$18,IF(H21="Di",Spieltage!$F$19,IF(H21="Mi",Spieltage!$F$20,IF(H21="Do",Spieltage!$F$21,IF(H21="Fr",Spieltage!$F$22,"")))))</f>
        <v>41669</v>
      </c>
      <c r="H21" t="str">
        <f>VLOOKUP(1,KKwest,3,FALSE)</f>
        <v>Do</v>
      </c>
      <c r="I21" s="19">
        <f>VLOOKUP(1,KKwest,4,FALSE)</f>
        <v>0.8125</v>
      </c>
    </row>
    <row r="22" spans="1:9" ht="12.75">
      <c r="A22" s="17">
        <f>IF(B22="Mo",Spieltage!$B$18,IF(B22="Di",Spieltage!$B$19,IF(B22="Mi",Spieltage!$B$20,IF(B22="Do",Spieltage!$B$21,IF(B22="Fr",Spieltage!$B$22,"")))))</f>
        <v>41543</v>
      </c>
      <c r="B22" t="str">
        <f>VLOOKUP(4,KKwest,3,FALSE)</f>
        <v>Do</v>
      </c>
      <c r="C22" s="19">
        <f>VLOOKUP(4,KKwest,4,FALSE)</f>
        <v>0.8125</v>
      </c>
      <c r="D22" t="str">
        <f>VLOOKUP(4,KKwest,2,FALSE)</f>
        <v>SG Saarlouis-Roden/Beaumarais</v>
      </c>
      <c r="E22" s="18" t="s">
        <v>35</v>
      </c>
      <c r="F22" t="str">
        <f>VLOOKUP(7,KKwest,2,FALSE)</f>
        <v>TTC Rehlingen 2</v>
      </c>
      <c r="G22" s="17">
        <f>IF(H22="Mo",Spieltage!$F$18,IF(H22="Di",Spieltage!$F$19,IF(H22="Mi",Spieltage!$F$20,IF(H22="Do",Spieltage!$F$21,IF(H22="Fr",Spieltage!$F$22,"")))))</f>
        <v>41669</v>
      </c>
      <c r="H22" t="str">
        <f>VLOOKUP(7,KKwest,3,FALSE)</f>
        <v>Do</v>
      </c>
      <c r="I22" s="19">
        <f>VLOOKUP(7,KKwest,4,FALSE)</f>
        <v>0.8333333333333334</v>
      </c>
    </row>
    <row r="23" spans="1:9" ht="12.75">
      <c r="A23" s="17">
        <f>IF(B23="Mo",Spieltage!$B$18,IF(B23="Di",Spieltage!$B$19,IF(B23="Mi",Spieltage!$B$20,IF(B23="Do",Spieltage!$B$21,IF(B23="Fr",Spieltage!$B$22,"")))))</f>
        <v>41542</v>
      </c>
      <c r="B23" t="str">
        <f>VLOOKUP(5,KKwest,3,FALSE)</f>
        <v>Mi</v>
      </c>
      <c r="C23" s="19">
        <f>VLOOKUP(5,KKwest,4,FALSE)</f>
        <v>0.8125</v>
      </c>
      <c r="D23" t="str">
        <f>VLOOKUP(5,KKwest,2,FALSE)</f>
        <v>TTG Dillingen 4</v>
      </c>
      <c r="E23" s="18" t="s">
        <v>35</v>
      </c>
      <c r="F23" t="str">
        <f>VLOOKUP(6,KKwest,2,FALSE)</f>
        <v>TTV Wadgassen </v>
      </c>
      <c r="G23" s="17">
        <f>IF(H23="Mo",Spieltage!$F$18,IF(H23="Di",Spieltage!$F$19,IF(H23="Mi",Spieltage!$F$20,IF(H23="Do",Spieltage!$F$21,IF(H23="Fr",Spieltage!$F$22,"")))))</f>
        <v>41668</v>
      </c>
      <c r="H23" t="str">
        <f>VLOOKUP(6,KKwest,3,FALSE)</f>
        <v>Mi</v>
      </c>
      <c r="I23" s="19">
        <f>VLOOKUP(6,KKwest,4,FALSE)</f>
        <v>0.8125</v>
      </c>
    </row>
    <row r="24" spans="1:9" ht="12.75">
      <c r="A24" s="17">
        <f>IF(B24="Mo",Spieltage!$B$18,IF(B24="Di",Spieltage!$B$19,IF(B24="Mi",Spieltage!$B$20,IF(B24="Do",Spieltage!$B$21,IF(B24="Fr",Spieltage!$B$22,"")))))</f>
      </c>
      <c r="C24" s="19"/>
      <c r="E24" s="18"/>
      <c r="G24" s="17"/>
      <c r="I24" s="19"/>
    </row>
    <row r="26" spans="1:9" ht="12.75">
      <c r="A26" s="17">
        <f>IF(B26="Mo",Spieltage!$B$23,IF(B26="Di",Spieltage!$B$24,IF(B26="Mi",Spieltage!$B$25,IF(B26="Do",Spieltage!$B$26,IF(B26="Fr",Spieltage!$B$27,"")))))</f>
        <v>41557</v>
      </c>
      <c r="B26" t="str">
        <f>VLOOKUP(1,KKwest,3,FALSE)</f>
        <v>Do</v>
      </c>
      <c r="C26" s="19">
        <f>VLOOKUP(1,KKwest,4,FALSE)</f>
        <v>0.8125</v>
      </c>
      <c r="D26" t="str">
        <f>VLOOKUP(1,KKwest,2,FALSE)</f>
        <v>TTG/DJK Ford Saarlouis </v>
      </c>
      <c r="E26" s="18" t="s">
        <v>35</v>
      </c>
      <c r="F26" t="str">
        <f>VLOOKUP(4,KKwest,2,FALSE)</f>
        <v>SG Saarlouis-Roden/Beaumarais</v>
      </c>
      <c r="G26" s="17">
        <f>IF(H26="Mo",Spieltage!$F$23,IF(H26="Di",Spieltage!$F$24,IF(H26="Mi",Spieltage!$F$25,IF(H26="Do",Spieltage!$F$26,IF(H26="Fr",Spieltage!$F$27,"")))))</f>
        <v>41676</v>
      </c>
      <c r="H26" t="str">
        <f>VLOOKUP(4,KKwest,3,FALSE)</f>
        <v>Do</v>
      </c>
      <c r="I26" s="19">
        <f>VLOOKUP(4,KKwest,4,FALSE)</f>
        <v>0.8125</v>
      </c>
    </row>
    <row r="27" spans="1:9" ht="12.75">
      <c r="A27" s="17">
        <f>IF(B27="Mo",Spieltage!$B$23,IF(B27="Di",Spieltage!$B$24,IF(B27="Mi",Spieltage!$B$25,IF(B27="Do",Spieltage!$B$26,IF(B27="Fr",Spieltage!$B$27,"")))))</f>
        <v>41556</v>
      </c>
      <c r="B27" t="str">
        <f>VLOOKUP(2,KKwest,3,FALSE)</f>
        <v>Mi</v>
      </c>
      <c r="C27" s="19">
        <f>VLOOKUP(2,KKwest,4,FALSE)</f>
        <v>0.8333333333333334</v>
      </c>
      <c r="D27" t="str">
        <f>VLOOKUP(2,KKwest,2,FALSE)</f>
        <v>SG Düppenweiler/Hargarten</v>
      </c>
      <c r="E27" s="18" t="s">
        <v>35</v>
      </c>
      <c r="F27" t="str">
        <f>VLOOKUP(3,KKwest,2,FALSE)</f>
        <v>TTC Wallerfangen 2</v>
      </c>
      <c r="G27" s="17">
        <f>IF(H27="Mo",Spieltage!$F$23,IF(H27="Di",Spieltage!$F$24,IF(H27="Mi",Spieltage!$F$25,IF(H27="Do",Spieltage!$F$26,IF(H27="Fr",Spieltage!$F$27,"")))))</f>
        <v>41675</v>
      </c>
      <c r="H27" t="str">
        <f>VLOOKUP(3,KKwest,3,FALSE)</f>
        <v>Mi</v>
      </c>
      <c r="I27" s="19">
        <f>VLOOKUP(3,KKwest,4,FALSE)</f>
        <v>0.8333333333333334</v>
      </c>
    </row>
    <row r="28" spans="1:9" ht="12.75">
      <c r="A28" s="17">
        <f>IF(B28="Mo",Spieltage!$B$23,IF(B28="Di",Spieltage!$B$24,IF(B28="Mi",Spieltage!$B$25,IF(B28="Do",Spieltage!$B$26,IF(B28="Fr",Spieltage!$B$27,"")))))</f>
        <v>41557</v>
      </c>
      <c r="B28" t="str">
        <f>VLOOKUP(7,KKwest,3,FALSE)</f>
        <v>Do</v>
      </c>
      <c r="C28" s="19">
        <f>VLOOKUP(7,KKwest,4,FALSE)</f>
        <v>0.8333333333333334</v>
      </c>
      <c r="D28" t="str">
        <f>VLOOKUP(7,KKwest,2,FALSE)</f>
        <v>TTC Rehlingen 2</v>
      </c>
      <c r="E28" s="18" t="s">
        <v>35</v>
      </c>
      <c r="F28" t="str">
        <f>VLOOKUP(5,KKwest,2,FALSE)</f>
        <v>TTG Dillingen 4</v>
      </c>
      <c r="G28" s="17">
        <f>IF(H28="Mo",Spieltage!$F$23,IF(H28="Di",Spieltage!$F$24,IF(H28="Mi",Spieltage!$F$25,IF(H28="Do",Spieltage!$F$26,IF(H28="Fr",Spieltage!$F$27,"")))))</f>
        <v>41675</v>
      </c>
      <c r="H28" t="str">
        <f>VLOOKUP(5,KKwest,3,FALSE)</f>
        <v>Mi</v>
      </c>
      <c r="I28" s="19">
        <f>VLOOKUP(5,KKwest,4,FALSE)</f>
        <v>0.8125</v>
      </c>
    </row>
    <row r="29" spans="1:9" ht="12.75">
      <c r="A29" s="17">
        <f>IF(B29="Mo",Spieltage!$B$23,IF(B29="Di",Spieltage!$B$24,IF(B29="Mi",Spieltage!$B$25,IF(B29="Do",Spieltage!$B$26,IF(B29="Fr",Spieltage!$B$27,"")))))</f>
      </c>
      <c r="B29" t="str">
        <f>VLOOKUP(8,KKwest,3,FALSE)</f>
        <v> </v>
      </c>
      <c r="C29" s="19" t="str">
        <f>VLOOKUP(8,KKwest,4,FALSE)</f>
        <v> </v>
      </c>
      <c r="D29" t="str">
        <f>VLOOKUP(8,KKwest,2,FALSE)</f>
        <v>spielfrei</v>
      </c>
      <c r="E29" s="18" t="s">
        <v>35</v>
      </c>
      <c r="F29" t="str">
        <f>VLOOKUP(6,KKwest,2,FALSE)</f>
        <v>TTV Wadgassen </v>
      </c>
      <c r="G29" s="17">
        <f>IF(H29="Mo",Spieltage!$F$23,IF(H29="Di",Spieltage!$F$24,IF(H29="Mi",Spieltage!$F$25,IF(H29="Do",Spieltage!$F$26,IF(H29="Fr",Spieltage!$F$27,"")))))</f>
        <v>41675</v>
      </c>
      <c r="H29" t="str">
        <f>VLOOKUP(6,KKwest,3,FALSE)</f>
        <v>Mi</v>
      </c>
      <c r="I29" s="19">
        <f>VLOOKUP(6,KKwest,4,FALSE)</f>
        <v>0.8125</v>
      </c>
    </row>
    <row r="30" spans="1:9" ht="12.75">
      <c r="A30" s="17">
        <f>IF(B30="Mo",Spieltage!$B$23,IF(B30="Di",Spieltage!$B$24,IF(B30="Mi",Spieltage!$B$25,IF(B30="Do",Spieltage!$B$26,IF(B30="Fr",Spieltage!$B$27,"")))))</f>
      </c>
      <c r="C30" s="19"/>
      <c r="E30" s="18"/>
      <c r="G30" s="17"/>
      <c r="I30" s="19"/>
    </row>
    <row r="32" spans="1:9" ht="12.75">
      <c r="A32" s="17">
        <f>IF(B32="Mo",Spieltage!$B$28,IF(B32="Di",Spieltage!$B$29,IF(B32="Mi",Spieltage!$B$30,IF(B32="Do",Spieltage!$B$31,IF(B32="Fr",Spieltage!$B$32,"")))))</f>
        <v>41563</v>
      </c>
      <c r="B32" t="str">
        <f>VLOOKUP(3,KKwest,3,FALSE)</f>
        <v>Mi</v>
      </c>
      <c r="C32" s="19">
        <f>VLOOKUP(3,KKwest,4,FALSE)</f>
        <v>0.8333333333333334</v>
      </c>
      <c r="D32" t="str">
        <f>VLOOKUP(3,KKwest,2,FALSE)</f>
        <v>TTC Wallerfangen 2</v>
      </c>
      <c r="E32" s="18" t="s">
        <v>35</v>
      </c>
      <c r="F32" t="str">
        <f>VLOOKUP(8,KKwest,2,FALSE)</f>
        <v>spielfrei</v>
      </c>
      <c r="G32" s="17">
        <f>IF(H32="Mo",Spieltage!$F$28,IF(H32="Di",Spieltage!$F$29,IF(H32="Mi",Spieltage!$F$30,IF(H32="Do",Spieltage!$F$31,IF(H32="Fr",Spieltage!$F$32,"")))))</f>
      </c>
      <c r="H32" t="str">
        <f>VLOOKUP(8,KKwest,3,FALSE)</f>
        <v> </v>
      </c>
      <c r="I32" s="19" t="str">
        <f>VLOOKUP(8,KKwest,4,FALSE)</f>
        <v> </v>
      </c>
    </row>
    <row r="33" spans="1:9" ht="12.75">
      <c r="A33" s="17">
        <f>IF(B33="Mo",Spieltage!$B$28,IF(B33="Di",Spieltage!$B$29,IF(B33="Mi",Spieltage!$B$30,IF(B33="Do",Spieltage!$B$31,IF(B33="Fr",Spieltage!$B$32,"")))))</f>
        <v>41564</v>
      </c>
      <c r="B33" t="str">
        <f>VLOOKUP(4,KKwest,3,FALSE)</f>
        <v>Do</v>
      </c>
      <c r="C33" s="19">
        <f>VLOOKUP(4,KKwest,4,FALSE)</f>
        <v>0.8125</v>
      </c>
      <c r="D33" t="str">
        <f>VLOOKUP(4,KKwest,2,FALSE)</f>
        <v>SG Saarlouis-Roden/Beaumarais</v>
      </c>
      <c r="E33" s="18" t="s">
        <v>35</v>
      </c>
      <c r="F33" t="str">
        <f>VLOOKUP(2,KKwest,2,FALSE)</f>
        <v>SG Düppenweiler/Hargarten</v>
      </c>
      <c r="G33" s="17">
        <f>IF(H33="Mo",Spieltage!$F$28,IF(H33="Di",Spieltage!$F$29,IF(H33="Mi",Spieltage!$F$30,IF(H33="Do",Spieltage!$F$31,IF(H33="Fr",Spieltage!$F$32,"")))))</f>
        <v>41682</v>
      </c>
      <c r="H33" t="str">
        <f>VLOOKUP(2,KKwest,3,FALSE)</f>
        <v>Mi</v>
      </c>
      <c r="I33" s="19">
        <f>VLOOKUP(2,KKwest,4,FALSE)</f>
        <v>0.8333333333333334</v>
      </c>
    </row>
    <row r="34" spans="1:9" ht="12.75">
      <c r="A34" s="17">
        <f>IF(B34="Mo",Spieltage!$B$28,IF(B34="Di",Spieltage!$B$29,IF(B34="Mi",Spieltage!$B$30,IF(B34="Do",Spieltage!$B$31,IF(B34="Fr",Spieltage!$B$32,"")))))</f>
        <v>41563</v>
      </c>
      <c r="B34" t="str">
        <f>VLOOKUP(5,KKwest,3,FALSE)</f>
        <v>Mi</v>
      </c>
      <c r="C34" s="19">
        <f>VLOOKUP(5,KKwest,4,FALSE)</f>
        <v>0.8125</v>
      </c>
      <c r="D34" t="str">
        <f>VLOOKUP(5,KKwest,2,FALSE)</f>
        <v>TTG Dillingen 4</v>
      </c>
      <c r="E34" s="18" t="s">
        <v>35</v>
      </c>
      <c r="F34" t="str">
        <f>VLOOKUP(1,KKwest,2,FALSE)</f>
        <v>TTG/DJK Ford Saarlouis </v>
      </c>
      <c r="G34" s="17">
        <f>IF(H34="Mo",Spieltage!$F$28,IF(H34="Di",Spieltage!$F$29,IF(H34="Mi",Spieltage!$F$30,IF(H34="Do",Spieltage!$F$31,IF(H34="Fr",Spieltage!$F$32,"")))))</f>
        <v>41683</v>
      </c>
      <c r="H34" t="str">
        <f>VLOOKUP(1,KKwest,3,FALSE)</f>
        <v>Do</v>
      </c>
      <c r="I34" s="19">
        <f>VLOOKUP(1,KKwest,4,FALSE)</f>
        <v>0.8125</v>
      </c>
    </row>
    <row r="35" spans="1:9" ht="12.75">
      <c r="A35" s="17">
        <f>IF(B35="Mo",Spieltage!$B$28,IF(B35="Di",Spieltage!$B$29,IF(B35="Mi",Spieltage!$B$30,IF(B35="Do",Spieltage!$B$31,IF(B35="Fr",Spieltage!$B$32,"")))))</f>
        <v>41563</v>
      </c>
      <c r="B35" t="str">
        <f>VLOOKUP(6,KKwest,3,FALSE)</f>
        <v>Mi</v>
      </c>
      <c r="C35" s="19">
        <f>VLOOKUP(6,KKwest,4,FALSE)</f>
        <v>0.8125</v>
      </c>
      <c r="D35" t="str">
        <f>VLOOKUP(6,KKwest,2,FALSE)</f>
        <v>TTV Wadgassen </v>
      </c>
      <c r="E35" s="18" t="s">
        <v>35</v>
      </c>
      <c r="F35" t="str">
        <f>VLOOKUP(7,KKwest,2,FALSE)</f>
        <v>TTC Rehlingen 2</v>
      </c>
      <c r="G35" s="17">
        <f>IF(H35="Mo",Spieltage!$F$28,IF(H35="Di",Spieltage!$F$29,IF(H35="Mi",Spieltage!$F$30,IF(H35="Do",Spieltage!$F$31,IF(H35="Fr",Spieltage!$F$32,"")))))</f>
        <v>41683</v>
      </c>
      <c r="H35" t="str">
        <f>VLOOKUP(7,KKwest,3,FALSE)</f>
        <v>Do</v>
      </c>
      <c r="I35" s="19">
        <f>VLOOKUP(7,KKwest,4,FALSE)</f>
        <v>0.8333333333333334</v>
      </c>
    </row>
    <row r="36" spans="1:9" ht="12.75">
      <c r="A36" s="17">
        <f>IF(B36="Mo",Spieltage!$B$28,IF(B36="Di",Spieltage!$B$29,IF(B36="Mi",Spieltage!$B$30,IF(B36="Do",Spieltage!$B$31,IF(B36="Fr",Spieltage!$B$32,"")))))</f>
      </c>
      <c r="C36" s="19"/>
      <c r="E36" s="18"/>
      <c r="G36" s="17"/>
      <c r="I36" s="19"/>
    </row>
    <row r="38" spans="1:9" ht="12.75">
      <c r="A38" s="17">
        <f>IF(B38="Mo",Spieltage!$B$33,IF(B38="Di",Spieltage!$B$34,IF(B38="Mi",Spieltage!$B$35,IF(B38="Do",Spieltage!$B$36,IF(B38="Fr",Spieltage!$B$37,"")))))</f>
        <v>41585</v>
      </c>
      <c r="B38" t="str">
        <f>VLOOKUP(1,KKwest,3,FALSE)</f>
        <v>Do</v>
      </c>
      <c r="C38" s="19">
        <f>VLOOKUP(1,KKwest,4,FALSE)</f>
        <v>0.8125</v>
      </c>
      <c r="D38" t="str">
        <f>VLOOKUP(1,KKwest,2,FALSE)</f>
        <v>TTG/DJK Ford Saarlouis </v>
      </c>
      <c r="E38" s="18" t="s">
        <v>35</v>
      </c>
      <c r="F38" t="str">
        <f>VLOOKUP(6,KKwest,2,FALSE)</f>
        <v>TTV Wadgassen </v>
      </c>
      <c r="G38" s="17">
        <f>IF(H38="Mo",Spieltage!$F$33,IF(H38="Di",Spieltage!$F$34,IF(H38="Mi",Spieltage!$F$35,IF(H38="Do",Spieltage!$F$36,IF(H38="Fr",Spieltage!$F$37,"")))))</f>
        <v>41689</v>
      </c>
      <c r="H38" t="str">
        <f>VLOOKUP(6,KKwest,3,FALSE)</f>
        <v>Mi</v>
      </c>
      <c r="I38" s="19">
        <f>VLOOKUP(6,KKwest,4,FALSE)</f>
        <v>0.8125</v>
      </c>
    </row>
    <row r="39" spans="1:9" ht="12.75">
      <c r="A39" s="17">
        <f>IF(B39="Mo",Spieltage!$B$33,IF(B39="Di",Spieltage!$B$34,IF(B39="Mi",Spieltage!$B$35,IF(B39="Do",Spieltage!$B$36,IF(B39="Fr",Spieltage!$B$37,"")))))</f>
        <v>41584</v>
      </c>
      <c r="B39" t="str">
        <f>VLOOKUP(2,KKwest,3,FALSE)</f>
        <v>Mi</v>
      </c>
      <c r="C39" s="19">
        <f>VLOOKUP(2,KKwest,4,FALSE)</f>
        <v>0.8333333333333334</v>
      </c>
      <c r="D39" t="str">
        <f>VLOOKUP(2,KKwest,2,FALSE)</f>
        <v>SG Düppenweiler/Hargarten</v>
      </c>
      <c r="E39" s="18" t="s">
        <v>35</v>
      </c>
      <c r="F39" t="str">
        <f>VLOOKUP(5,KKwest,2,FALSE)</f>
        <v>TTG Dillingen 4</v>
      </c>
      <c r="G39" s="17">
        <f>IF(H39="Mo",Spieltage!$F$33,IF(H39="Di",Spieltage!$F$34,IF(H39="Mi",Spieltage!$F$35,IF(H39="Do",Spieltage!$F$36,IF(H39="Fr",Spieltage!$F$37,"")))))</f>
        <v>41689</v>
      </c>
      <c r="H39" t="str">
        <f>VLOOKUP(5,KKwest,3,FALSE)</f>
        <v>Mi</v>
      </c>
      <c r="I39" s="19">
        <f>VLOOKUP(5,KKwest,4,FALSE)</f>
        <v>0.8125</v>
      </c>
    </row>
    <row r="40" spans="1:9" ht="12.75">
      <c r="A40" s="17">
        <f>IF(B40="Mo",Spieltage!$B$33,IF(B40="Di",Spieltage!$B$34,IF(B40="Mi",Spieltage!$B$35,IF(B40="Do",Spieltage!$B$36,IF(B40="Fr",Spieltage!$B$37,"")))))</f>
        <v>41584</v>
      </c>
      <c r="B40" t="str">
        <f>VLOOKUP(3,KKwest,3,FALSE)</f>
        <v>Mi</v>
      </c>
      <c r="C40" s="19">
        <f>VLOOKUP(3,KKwest,4,FALSE)</f>
        <v>0.8333333333333334</v>
      </c>
      <c r="D40" t="str">
        <f>VLOOKUP(3,KKwest,2,FALSE)</f>
        <v>TTC Wallerfangen 2</v>
      </c>
      <c r="E40" s="18" t="s">
        <v>35</v>
      </c>
      <c r="F40" t="str">
        <f>VLOOKUP(4,KKwest,2,FALSE)</f>
        <v>SG Saarlouis-Roden/Beaumarais</v>
      </c>
      <c r="G40" s="17">
        <f>IF(H40="Mo",Spieltage!$F$33,IF(H40="Di",Spieltage!$F$34,IF(H40="Mi",Spieltage!$F$35,IF(H40="Do",Spieltage!$F$36,IF(H40="Fr",Spieltage!$F$37,"")))))</f>
        <v>41690</v>
      </c>
      <c r="H40" t="str">
        <f>VLOOKUP(4,KKwest,3,FALSE)</f>
        <v>Do</v>
      </c>
      <c r="I40" s="19">
        <f>VLOOKUP(4,KKwest,4,FALSE)</f>
        <v>0.8125</v>
      </c>
    </row>
    <row r="41" spans="1:9" ht="12.75">
      <c r="A41" s="17">
        <f>IF(B41="Mo",Spieltage!$B$33,IF(B41="Di",Spieltage!$B$34,IF(B41="Mi",Spieltage!$B$35,IF(B41="Do",Spieltage!$B$36,IF(B41="Fr",Spieltage!$B$37,"")))))</f>
      </c>
      <c r="B41" t="str">
        <f>VLOOKUP(8,KKwest,3,FALSE)</f>
        <v> </v>
      </c>
      <c r="C41" s="19" t="str">
        <f>VLOOKUP(8,KKwest,4,FALSE)</f>
        <v> </v>
      </c>
      <c r="D41" t="str">
        <f>VLOOKUP(8,KKwest,2,FALSE)</f>
        <v>spielfrei</v>
      </c>
      <c r="E41" s="18" t="s">
        <v>35</v>
      </c>
      <c r="F41" t="str">
        <f>VLOOKUP(7,KKwest,2,FALSE)</f>
        <v>TTC Rehlingen 2</v>
      </c>
      <c r="G41" s="17">
        <f>IF(H41="Mo",Spieltage!$F$33,IF(H41="Di",Spieltage!$F$34,IF(H41="Mi",Spieltage!$F$35,IF(H41="Do",Spieltage!$F$36,IF(H41="Fr",Spieltage!$F$37,"")))))</f>
        <v>41690</v>
      </c>
      <c r="H41" t="str">
        <f>VLOOKUP(7,KKwest,3,FALSE)</f>
        <v>Do</v>
      </c>
      <c r="I41" s="19">
        <f>VLOOKUP(7,KKwest,4,FALSE)</f>
        <v>0.8333333333333334</v>
      </c>
    </row>
    <row r="42" spans="1:9" ht="12.75">
      <c r="A42" s="17">
        <f>IF(B42="Mo",Spieltage!$B$33,IF(B42="Di",Spieltage!$B$34,IF(B42="Mi",Spieltage!$B$35,IF(B42="Do",Spieltage!$B$36,IF(B42="Fr",Spieltage!$B$37,"")))))</f>
      </c>
      <c r="C42" s="19"/>
      <c r="E42" s="18"/>
      <c r="G42" s="17"/>
      <c r="I42" s="19"/>
    </row>
    <row r="44" spans="1:9" ht="12.75">
      <c r="A44" s="17">
        <f>IF(B44="Mo",Spieltage!$B$38,IF(B44="Di",Spieltage!$B$39,IF(B44="Mi",Spieltage!$B$40,IF(B44="Do",Spieltage!$B$41,IF(B44="Fr",Spieltage!$B$42,"")))))</f>
        <v>41592</v>
      </c>
      <c r="B44" t="str">
        <f>VLOOKUP(4,KKwest,3,FALSE)</f>
        <v>Do</v>
      </c>
      <c r="C44" s="19">
        <f>VLOOKUP(4,KKwest,4,FALSE)</f>
        <v>0.8125</v>
      </c>
      <c r="D44" t="str">
        <f>VLOOKUP(4,KKwest,2,FALSE)</f>
        <v>SG Saarlouis-Roden/Beaumarais</v>
      </c>
      <c r="E44" s="18" t="s">
        <v>35</v>
      </c>
      <c r="F44" t="str">
        <f>VLOOKUP(8,KKwest,2,FALSE)</f>
        <v>spielfrei</v>
      </c>
      <c r="G44" s="17">
        <f>IF(H44="Mo",Spieltage!$F$38,IF(H44="Di",Spieltage!$F$39,IF(H44="Mi",Spieltage!$F$40,IF(H44="Do",Spieltage!$F$41,IF(H44="Fr",Spieltage!$F$42,"")))))</f>
      </c>
      <c r="H44" t="str">
        <f>VLOOKUP(8,KKwest,3,FALSE)</f>
        <v> </v>
      </c>
      <c r="I44" s="19" t="str">
        <f>VLOOKUP(8,KKwest,4,FALSE)</f>
        <v> </v>
      </c>
    </row>
    <row r="45" spans="1:9" ht="12.75">
      <c r="A45" s="17">
        <f>IF(B45="Mo",Spieltage!$B$38,IF(B45="Di",Spieltage!$B$39,IF(B45="Mi",Spieltage!$B$40,IF(B45="Do",Spieltage!$B$41,IF(B45="Fr",Spieltage!$B$42,"")))))</f>
        <v>41591</v>
      </c>
      <c r="B45" t="str">
        <f>VLOOKUP(5,KKwest,3,FALSE)</f>
        <v>Mi</v>
      </c>
      <c r="C45" s="19">
        <f>VLOOKUP(5,KKwest,4,FALSE)</f>
        <v>0.8125</v>
      </c>
      <c r="D45" t="str">
        <f>VLOOKUP(5,KKwest,2,FALSE)</f>
        <v>TTG Dillingen 4</v>
      </c>
      <c r="E45" s="18" t="s">
        <v>35</v>
      </c>
      <c r="F45" t="str">
        <f>VLOOKUP(3,KKwest,2,FALSE)</f>
        <v>TTC Wallerfangen 2</v>
      </c>
      <c r="G45" s="17">
        <f>IF(H45="Mo",Spieltage!$F$38,IF(H45="Di",Spieltage!$F$39,IF(H45="Mi",Spieltage!$F$40,IF(H45="Do",Spieltage!$F$41,IF(H45="Fr",Spieltage!$F$42,"")))))</f>
        <v>41710</v>
      </c>
      <c r="H45" t="str">
        <f>VLOOKUP(3,KKwest,3,FALSE)</f>
        <v>Mi</v>
      </c>
      <c r="I45" s="19">
        <f>VLOOKUP(3,KKwest,4,FALSE)</f>
        <v>0.8333333333333334</v>
      </c>
    </row>
    <row r="46" spans="1:9" ht="12.75">
      <c r="A46" s="17">
        <f>IF(B46="Mo",Spieltage!$B$38,IF(B46="Di",Spieltage!$B$39,IF(B46="Mi",Spieltage!$B$40,IF(B46="Do",Spieltage!$B$41,IF(B46="Fr",Spieltage!$B$42,"")))))</f>
        <v>41591</v>
      </c>
      <c r="B46" t="str">
        <f>VLOOKUP(6,KKwest,3,FALSE)</f>
        <v>Mi</v>
      </c>
      <c r="C46" s="19">
        <f>VLOOKUP(6,KKwest,4,FALSE)</f>
        <v>0.8125</v>
      </c>
      <c r="D46" t="str">
        <f>VLOOKUP(6,KKwest,2,FALSE)</f>
        <v>TTV Wadgassen </v>
      </c>
      <c r="E46" s="18" t="s">
        <v>35</v>
      </c>
      <c r="F46" t="str">
        <f>VLOOKUP(2,KKwest,2,FALSE)</f>
        <v>SG Düppenweiler/Hargarten</v>
      </c>
      <c r="G46" s="17">
        <f>IF(H46="Mo",Spieltage!$F$38,IF(H46="Di",Spieltage!$F$39,IF(H46="Mi",Spieltage!$F$40,IF(H46="Do",Spieltage!$F$41,IF(H46="Fr",Spieltage!$F$42,"")))))</f>
        <v>41710</v>
      </c>
      <c r="H46" t="str">
        <f>VLOOKUP(2,KKwest,3,FALSE)</f>
        <v>Mi</v>
      </c>
      <c r="I46" s="19">
        <f>VLOOKUP(2,KKwest,4,FALSE)</f>
        <v>0.8333333333333334</v>
      </c>
    </row>
    <row r="47" spans="1:9" ht="12.75">
      <c r="A47" s="17">
        <f>IF(B47="Mo",Spieltage!$B$38,IF(B47="Di",Spieltage!$B$39,IF(B47="Mi",Spieltage!$B$40,IF(B47="Do",Spieltage!$B$41,IF(B47="Fr",Spieltage!$B$42,"")))))</f>
        <v>41592</v>
      </c>
      <c r="B47" t="str">
        <f>VLOOKUP(7,KKwest,3,FALSE)</f>
        <v>Do</v>
      </c>
      <c r="C47" s="19">
        <f>VLOOKUP(7,KKwest,4,FALSE)</f>
        <v>0.8333333333333334</v>
      </c>
      <c r="D47" t="str">
        <f>VLOOKUP(7,KKwest,2,FALSE)</f>
        <v>TTC Rehlingen 2</v>
      </c>
      <c r="E47" s="18" t="s">
        <v>35</v>
      </c>
      <c r="F47" t="str">
        <f>VLOOKUP(1,KKwest,2,FALSE)</f>
        <v>TTG/DJK Ford Saarlouis </v>
      </c>
      <c r="G47" s="17">
        <f>IF(H47="Mo",Spieltage!$F$38,IF(H47="Di",Spieltage!$F$39,IF(H47="Mi",Spieltage!$F$40,IF(H47="Do",Spieltage!$F$41,IF(H47="Fr",Spieltage!$F$42,"")))))</f>
        <v>41711</v>
      </c>
      <c r="H47" t="str">
        <f>VLOOKUP(1,KKwest,3,FALSE)</f>
        <v>Do</v>
      </c>
      <c r="I47" s="19">
        <f>VLOOKUP(1,KKwest,4,FALSE)</f>
        <v>0.8125</v>
      </c>
    </row>
    <row r="48" spans="1:9" ht="12.75">
      <c r="A48" s="17">
        <f>IF(B48="Mo",Spieltage!$B$38,IF(B48="Di",Spieltage!$B$39,IF(B48="Mi",Spieltage!$B$40,IF(B48="Do",Spieltage!$B$41,IF(B48="Fr",Spieltage!$B$42,"")))))</f>
      </c>
      <c r="C48" s="19"/>
      <c r="E48" s="18"/>
      <c r="G48" s="17"/>
      <c r="I48" s="19"/>
    </row>
    <row r="50" spans="1:9" ht="12.75">
      <c r="A50" s="17"/>
      <c r="C50" s="19"/>
      <c r="E50" s="18"/>
      <c r="G50" s="17"/>
      <c r="I50" s="19"/>
    </row>
    <row r="51" spans="1:9" ht="12.75">
      <c r="A51" s="17"/>
      <c r="C51" s="19"/>
      <c r="E51" s="18"/>
      <c r="G51" s="17"/>
      <c r="I51" s="19"/>
    </row>
    <row r="52" spans="1:9" ht="12.75">
      <c r="A52" s="17"/>
      <c r="C52" s="19"/>
      <c r="E52" s="18"/>
      <c r="G52" s="17"/>
      <c r="I52" s="19"/>
    </row>
    <row r="53" spans="1:9" ht="12.75">
      <c r="A53" s="17"/>
      <c r="C53" s="19"/>
      <c r="E53" s="18"/>
      <c r="G53" s="17"/>
      <c r="I53" s="19"/>
    </row>
    <row r="54" spans="1:9" ht="12.75">
      <c r="A54" s="17"/>
      <c r="C54" s="19"/>
      <c r="E54" s="18"/>
      <c r="G54" s="17"/>
      <c r="I54" s="19"/>
    </row>
    <row r="56" spans="1:9" ht="12.75">
      <c r="A56" s="17"/>
      <c r="C56" s="19"/>
      <c r="E56" s="18"/>
      <c r="G56" s="17"/>
      <c r="I56" s="19"/>
    </row>
    <row r="57" spans="1:9" ht="12.75">
      <c r="A57" s="17"/>
      <c r="C57" s="19"/>
      <c r="E57" s="18"/>
      <c r="G57" s="17"/>
      <c r="I57" s="19"/>
    </row>
    <row r="58" spans="1:9" ht="12.75">
      <c r="A58" s="17"/>
      <c r="C58" s="19"/>
      <c r="E58" s="18"/>
      <c r="G58" s="17"/>
      <c r="I58" s="19"/>
    </row>
    <row r="59" spans="1:9" ht="12.75">
      <c r="A59" s="17"/>
      <c r="C59" s="19"/>
      <c r="E59" s="18"/>
      <c r="G59" s="17"/>
      <c r="I59" s="19"/>
    </row>
    <row r="60" spans="1:9" ht="12.75">
      <c r="A60" s="17"/>
      <c r="C60" s="19"/>
      <c r="E60" s="18"/>
      <c r="G60" s="17"/>
      <c r="I60" s="19"/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showGridLines="0" tabSelected="1" workbookViewId="0" topLeftCell="A1">
      <selection activeCell="D48" sqref="D48"/>
    </sheetView>
  </sheetViews>
  <sheetFormatPr defaultColWidth="11.421875" defaultRowHeight="12.75"/>
  <cols>
    <col min="1" max="1" width="3.421875" style="0" customWidth="1"/>
    <col min="2" max="2" width="17.7109375" style="0" customWidth="1"/>
    <col min="3" max="3" width="4.00390625" style="0" customWidth="1"/>
    <col min="4" max="4" width="5.7109375" style="0" customWidth="1"/>
    <col min="5" max="5" width="3.57421875" style="0" customWidth="1"/>
    <col min="6" max="6" width="18.28125" style="0" customWidth="1"/>
    <col min="7" max="7" width="4.421875" style="0" customWidth="1"/>
    <col min="8" max="8" width="5.7109375" style="0" customWidth="1"/>
    <col min="9" max="9" width="3.57421875" style="0" customWidth="1"/>
    <col min="10" max="10" width="17.421875" style="0" customWidth="1"/>
    <col min="11" max="11" width="4.421875" style="0" customWidth="1"/>
    <col min="12" max="12" width="5.7109375" style="0" customWidth="1"/>
    <col min="15" max="15" width="24.7109375" style="0" customWidth="1"/>
    <col min="16" max="16" width="27.421875" style="0" customWidth="1"/>
  </cols>
  <sheetData>
    <row r="1" spans="1:12" ht="18">
      <c r="A1" s="1" t="s">
        <v>107</v>
      </c>
      <c r="D1" s="2" t="s">
        <v>115</v>
      </c>
      <c r="J1" s="3">
        <v>41486</v>
      </c>
      <c r="L1" s="1" t="s">
        <v>31</v>
      </c>
    </row>
    <row r="2" spans="1:10" ht="15.75">
      <c r="A2" s="1" t="s">
        <v>108</v>
      </c>
      <c r="D2" s="5"/>
      <c r="F2" s="6" t="s">
        <v>0</v>
      </c>
      <c r="J2" s="3" t="s">
        <v>0</v>
      </c>
    </row>
    <row r="3" spans="1:12" ht="12.75">
      <c r="A3" s="37" t="s">
        <v>1</v>
      </c>
      <c r="B3" s="38" t="s">
        <v>2</v>
      </c>
      <c r="C3" s="38" t="s">
        <v>3</v>
      </c>
      <c r="D3" s="39" t="s">
        <v>4</v>
      </c>
      <c r="E3" s="37" t="s">
        <v>1</v>
      </c>
      <c r="F3" s="38" t="s">
        <v>5</v>
      </c>
      <c r="G3" s="38" t="s">
        <v>3</v>
      </c>
      <c r="H3" s="39" t="s">
        <v>4</v>
      </c>
      <c r="I3" s="37" t="s">
        <v>1</v>
      </c>
      <c r="J3" s="38" t="s">
        <v>6</v>
      </c>
      <c r="K3" s="38" t="s">
        <v>3</v>
      </c>
      <c r="L3" s="39" t="s">
        <v>4</v>
      </c>
    </row>
    <row r="4" spans="1:12" ht="12.75">
      <c r="A4" s="40"/>
      <c r="B4" s="41"/>
      <c r="C4" s="42"/>
      <c r="D4" s="43"/>
      <c r="E4" s="40"/>
      <c r="F4" s="41"/>
      <c r="G4" s="51"/>
      <c r="H4" s="43"/>
      <c r="I4" s="40"/>
      <c r="J4" s="41"/>
      <c r="K4" s="42"/>
      <c r="L4" s="43"/>
    </row>
    <row r="5" spans="1:18" ht="25.5">
      <c r="A5" s="44">
        <v>1</v>
      </c>
      <c r="B5" s="24" t="s">
        <v>61</v>
      </c>
      <c r="C5" s="25" t="s">
        <v>8</v>
      </c>
      <c r="D5" s="45">
        <v>0.8333333333333334</v>
      </c>
      <c r="E5" s="46">
        <v>1</v>
      </c>
      <c r="F5" s="24" t="s">
        <v>70</v>
      </c>
      <c r="G5" s="25" t="s">
        <v>7</v>
      </c>
      <c r="H5" s="45">
        <v>0.7916666666666666</v>
      </c>
      <c r="I5" s="44">
        <v>1</v>
      </c>
      <c r="J5" s="26" t="s">
        <v>120</v>
      </c>
      <c r="K5" s="27" t="s">
        <v>8</v>
      </c>
      <c r="L5" s="45">
        <v>0.8333333333333334</v>
      </c>
      <c r="N5" s="24"/>
      <c r="O5" s="26"/>
      <c r="P5" s="24"/>
      <c r="Q5" s="25"/>
      <c r="R5" s="23"/>
    </row>
    <row r="6" spans="1:18" ht="25.5">
      <c r="A6" s="63">
        <v>2</v>
      </c>
      <c r="B6" s="64" t="s">
        <v>64</v>
      </c>
      <c r="C6" s="65" t="s">
        <v>7</v>
      </c>
      <c r="D6" s="66">
        <v>0.8229166666666666</v>
      </c>
      <c r="E6" s="67">
        <v>2</v>
      </c>
      <c r="F6" s="64" t="s">
        <v>72</v>
      </c>
      <c r="G6" s="65" t="s">
        <v>13</v>
      </c>
      <c r="H6" s="66" t="s">
        <v>119</v>
      </c>
      <c r="I6" s="67">
        <v>2</v>
      </c>
      <c r="J6" s="68" t="s">
        <v>74</v>
      </c>
      <c r="K6" s="69" t="s">
        <v>12</v>
      </c>
      <c r="L6" s="66">
        <v>0.7916666666666666</v>
      </c>
      <c r="O6" s="26"/>
      <c r="P6" s="24"/>
      <c r="Q6" s="25"/>
      <c r="R6" s="23"/>
    </row>
    <row r="7" spans="1:18" ht="12.75" customHeight="1">
      <c r="A7" s="63">
        <v>3</v>
      </c>
      <c r="B7" s="64" t="s">
        <v>116</v>
      </c>
      <c r="C7" s="70" t="s">
        <v>8</v>
      </c>
      <c r="D7" s="71">
        <v>0.7916666666666666</v>
      </c>
      <c r="E7" s="67">
        <v>3</v>
      </c>
      <c r="F7" s="64" t="s">
        <v>73</v>
      </c>
      <c r="G7" s="65" t="s">
        <v>12</v>
      </c>
      <c r="H7" s="66">
        <v>0.8125</v>
      </c>
      <c r="I7" s="63">
        <v>3</v>
      </c>
      <c r="J7" s="68" t="s">
        <v>43</v>
      </c>
      <c r="K7" s="69" t="s">
        <v>7</v>
      </c>
      <c r="L7" s="66">
        <v>0.8125</v>
      </c>
      <c r="N7" s="24"/>
      <c r="O7" s="26"/>
      <c r="P7" s="26"/>
      <c r="Q7" s="27"/>
      <c r="R7" s="23"/>
    </row>
    <row r="8" spans="1:18" ht="12.75">
      <c r="A8" s="63">
        <v>4</v>
      </c>
      <c r="B8" s="64" t="s">
        <v>65</v>
      </c>
      <c r="C8" s="65" t="s">
        <v>12</v>
      </c>
      <c r="D8" s="66">
        <v>0.8125</v>
      </c>
      <c r="E8" s="67">
        <v>4</v>
      </c>
      <c r="F8" s="64" t="s">
        <v>40</v>
      </c>
      <c r="G8" s="65" t="s">
        <v>8</v>
      </c>
      <c r="H8" s="66">
        <v>0.84375</v>
      </c>
      <c r="I8" s="63">
        <v>4</v>
      </c>
      <c r="J8" s="68" t="s">
        <v>47</v>
      </c>
      <c r="K8" s="69" t="s">
        <v>8</v>
      </c>
      <c r="L8" s="66">
        <v>0.7916666666666666</v>
      </c>
      <c r="N8" s="24"/>
      <c r="O8" s="26"/>
      <c r="P8" s="26"/>
      <c r="Q8" s="27"/>
      <c r="R8" s="23"/>
    </row>
    <row r="9" spans="1:18" ht="12.75">
      <c r="A9" s="67">
        <v>5</v>
      </c>
      <c r="B9" s="64" t="s">
        <v>10</v>
      </c>
      <c r="C9" s="65" t="s">
        <v>12</v>
      </c>
      <c r="D9" s="66">
        <v>0.8333333333333334</v>
      </c>
      <c r="E9" s="63">
        <v>5</v>
      </c>
      <c r="F9" s="64" t="s">
        <v>68</v>
      </c>
      <c r="G9" s="65" t="s">
        <v>7</v>
      </c>
      <c r="H9" s="66">
        <v>0.8125</v>
      </c>
      <c r="I9" s="67">
        <v>5</v>
      </c>
      <c r="J9" s="68" t="s">
        <v>75</v>
      </c>
      <c r="K9" s="69" t="s">
        <v>9</v>
      </c>
      <c r="L9" s="66">
        <v>0.7916666666666666</v>
      </c>
      <c r="N9" s="24"/>
      <c r="O9" s="26"/>
      <c r="P9" s="24"/>
      <c r="Q9" s="25"/>
      <c r="R9" s="23"/>
    </row>
    <row r="10" spans="1:18" ht="25.5">
      <c r="A10" s="67">
        <v>6</v>
      </c>
      <c r="B10" s="64" t="s">
        <v>66</v>
      </c>
      <c r="C10" s="65" t="s">
        <v>8</v>
      </c>
      <c r="D10" s="66">
        <v>0.8125</v>
      </c>
      <c r="E10" s="67">
        <v>6</v>
      </c>
      <c r="F10" s="64" t="s">
        <v>67</v>
      </c>
      <c r="G10" s="72" t="s">
        <v>13</v>
      </c>
      <c r="H10" s="66">
        <v>0.7916666666666666</v>
      </c>
      <c r="I10" s="63">
        <v>6</v>
      </c>
      <c r="J10" s="68" t="s">
        <v>42</v>
      </c>
      <c r="K10" s="69" t="s">
        <v>7</v>
      </c>
      <c r="L10" s="66">
        <v>0.7916666666666666</v>
      </c>
      <c r="O10" s="26"/>
      <c r="P10" s="24"/>
      <c r="Q10" s="25"/>
      <c r="R10" s="23"/>
    </row>
    <row r="11" spans="1:18" ht="12.75">
      <c r="A11" s="63">
        <v>7</v>
      </c>
      <c r="B11" s="64" t="s">
        <v>63</v>
      </c>
      <c r="C11" s="65" t="s">
        <v>7</v>
      </c>
      <c r="D11" s="66">
        <v>0.8125</v>
      </c>
      <c r="E11" s="67">
        <v>7</v>
      </c>
      <c r="F11" s="64" t="s">
        <v>11</v>
      </c>
      <c r="G11" s="65" t="s">
        <v>8</v>
      </c>
      <c r="H11" s="66">
        <v>0.8125</v>
      </c>
      <c r="I11" s="67">
        <v>7</v>
      </c>
      <c r="J11" s="68" t="s">
        <v>121</v>
      </c>
      <c r="K11" s="73" t="s">
        <v>9</v>
      </c>
      <c r="L11" s="66">
        <v>0.7916666666666666</v>
      </c>
      <c r="N11" s="24"/>
      <c r="O11" s="26"/>
      <c r="P11" s="26"/>
      <c r="Q11" s="27"/>
      <c r="R11" s="23"/>
    </row>
    <row r="12" spans="1:18" ht="12.75">
      <c r="A12" s="63">
        <v>8</v>
      </c>
      <c r="B12" s="64" t="s">
        <v>62</v>
      </c>
      <c r="C12" s="65" t="s">
        <v>8</v>
      </c>
      <c r="D12" s="66">
        <v>0.8125</v>
      </c>
      <c r="E12" s="67">
        <v>8</v>
      </c>
      <c r="F12" s="64" t="s">
        <v>71</v>
      </c>
      <c r="G12" s="65" t="s">
        <v>13</v>
      </c>
      <c r="H12" s="66">
        <v>0.8125</v>
      </c>
      <c r="I12" s="63">
        <v>8</v>
      </c>
      <c r="J12" s="68" t="s">
        <v>58</v>
      </c>
      <c r="K12" s="69" t="s">
        <v>13</v>
      </c>
      <c r="L12" s="66">
        <v>0.8125</v>
      </c>
      <c r="N12" s="24"/>
      <c r="O12" s="26"/>
      <c r="P12" s="24"/>
      <c r="Q12" s="25"/>
      <c r="R12" s="23"/>
    </row>
    <row r="13" spans="1:18" ht="38.25">
      <c r="A13" s="67">
        <v>9</v>
      </c>
      <c r="B13" s="64" t="s">
        <v>69</v>
      </c>
      <c r="C13" s="65" t="s">
        <v>13</v>
      </c>
      <c r="D13" s="66">
        <v>0.7916666666666666</v>
      </c>
      <c r="E13" s="67">
        <v>9</v>
      </c>
      <c r="F13" s="64" t="s">
        <v>117</v>
      </c>
      <c r="G13" s="65" t="s">
        <v>8</v>
      </c>
      <c r="H13" s="66">
        <v>0.8333333333333334</v>
      </c>
      <c r="I13" s="67">
        <v>9</v>
      </c>
      <c r="J13" s="68" t="s">
        <v>76</v>
      </c>
      <c r="K13" s="69" t="s">
        <v>9</v>
      </c>
      <c r="L13" s="66">
        <v>0.8333333333333334</v>
      </c>
      <c r="N13" s="24"/>
      <c r="O13" s="26"/>
      <c r="P13" s="26"/>
      <c r="Q13" s="28"/>
      <c r="R13" s="23"/>
    </row>
    <row r="14" spans="1:18" ht="25.5">
      <c r="A14" s="47">
        <v>10</v>
      </c>
      <c r="B14" s="48" t="s">
        <v>110</v>
      </c>
      <c r="C14" s="49" t="s">
        <v>7</v>
      </c>
      <c r="D14" s="50">
        <v>0.8125</v>
      </c>
      <c r="E14" s="52">
        <v>10</v>
      </c>
      <c r="F14" s="48" t="s">
        <v>118</v>
      </c>
      <c r="G14" s="53" t="s">
        <v>7</v>
      </c>
      <c r="H14" s="50">
        <v>0.8333333333333334</v>
      </c>
      <c r="I14" s="52">
        <v>10</v>
      </c>
      <c r="J14" s="54" t="s">
        <v>38</v>
      </c>
      <c r="K14" s="55" t="s">
        <v>0</v>
      </c>
      <c r="L14" s="50" t="s">
        <v>0</v>
      </c>
      <c r="O14" s="26"/>
      <c r="P14" s="24"/>
      <c r="Q14" s="32"/>
      <c r="R14" s="33"/>
    </row>
    <row r="15" spans="1:15" ht="12.75">
      <c r="A15" s="30"/>
      <c r="B15" s="31"/>
      <c r="C15" s="18"/>
      <c r="D15" s="34"/>
      <c r="E15" s="30"/>
      <c r="F15" s="24"/>
      <c r="G15" s="25"/>
      <c r="H15" s="23"/>
      <c r="I15" s="30"/>
      <c r="J15" s="26"/>
      <c r="K15" s="27"/>
      <c r="L15" s="23"/>
      <c r="O15" s="26"/>
    </row>
    <row r="16" spans="1:12" ht="12.75">
      <c r="A16" s="9" t="s">
        <v>0</v>
      </c>
      <c r="B16" s="13" t="s">
        <v>0</v>
      </c>
      <c r="C16" s="9"/>
      <c r="D16" s="9"/>
      <c r="E16" s="9"/>
      <c r="F16" s="9"/>
      <c r="G16" s="9" t="s">
        <v>0</v>
      </c>
      <c r="H16" s="9" t="s">
        <v>0</v>
      </c>
      <c r="I16" s="9"/>
      <c r="J16" s="9"/>
      <c r="K16" s="9" t="s">
        <v>0</v>
      </c>
      <c r="L16" s="9" t="s">
        <v>0</v>
      </c>
    </row>
    <row r="17" spans="1:12" ht="12.75">
      <c r="A17" s="37" t="s">
        <v>1</v>
      </c>
      <c r="B17" s="38" t="s">
        <v>14</v>
      </c>
      <c r="C17" s="38" t="s">
        <v>3</v>
      </c>
      <c r="D17" s="39" t="s">
        <v>4</v>
      </c>
      <c r="E17" s="37" t="s">
        <v>1</v>
      </c>
      <c r="F17" s="38" t="s">
        <v>15</v>
      </c>
      <c r="G17" s="38" t="s">
        <v>3</v>
      </c>
      <c r="H17" s="39" t="s">
        <v>4</v>
      </c>
      <c r="I17" s="37" t="s">
        <v>1</v>
      </c>
      <c r="J17" s="38" t="s">
        <v>16</v>
      </c>
      <c r="K17" s="38" t="s">
        <v>3</v>
      </c>
      <c r="L17" s="39" t="s">
        <v>4</v>
      </c>
    </row>
    <row r="18" spans="1:12" ht="12.75">
      <c r="A18" s="40"/>
      <c r="B18" s="41"/>
      <c r="C18" s="51"/>
      <c r="D18" s="56"/>
      <c r="E18" s="40"/>
      <c r="F18" s="41"/>
      <c r="G18" s="51"/>
      <c r="H18" s="56"/>
      <c r="I18" s="40"/>
      <c r="J18" s="41"/>
      <c r="K18" s="51"/>
      <c r="L18" s="56"/>
    </row>
    <row r="19" spans="1:18" ht="25.5">
      <c r="A19" s="67">
        <v>1</v>
      </c>
      <c r="B19" s="68" t="s">
        <v>111</v>
      </c>
      <c r="C19" s="69" t="s">
        <v>7</v>
      </c>
      <c r="D19" s="66">
        <v>0.8125</v>
      </c>
      <c r="E19" s="67">
        <v>1</v>
      </c>
      <c r="F19" s="68" t="s">
        <v>99</v>
      </c>
      <c r="G19" s="69" t="s">
        <v>12</v>
      </c>
      <c r="H19" s="66">
        <v>0.7916666666666666</v>
      </c>
      <c r="I19" s="63">
        <v>1</v>
      </c>
      <c r="J19" s="68" t="s">
        <v>46</v>
      </c>
      <c r="K19" s="69" t="s">
        <v>12</v>
      </c>
      <c r="L19" s="66">
        <v>0.8125</v>
      </c>
      <c r="O19" s="26"/>
      <c r="P19" s="26"/>
      <c r="Q19" s="27"/>
      <c r="R19" s="23"/>
    </row>
    <row r="20" spans="1:18" ht="25.5">
      <c r="A20" s="67">
        <v>2</v>
      </c>
      <c r="B20" s="68" t="s">
        <v>78</v>
      </c>
      <c r="C20" s="69" t="s">
        <v>9</v>
      </c>
      <c r="D20" s="66">
        <v>0.7916666666666666</v>
      </c>
      <c r="E20" s="63">
        <v>2</v>
      </c>
      <c r="F20" s="68" t="s">
        <v>45</v>
      </c>
      <c r="G20" s="69" t="s">
        <v>7</v>
      </c>
      <c r="H20" s="66">
        <v>0.7916666666666666</v>
      </c>
      <c r="I20" s="67">
        <v>2</v>
      </c>
      <c r="J20" s="68" t="s">
        <v>81</v>
      </c>
      <c r="K20" s="69" t="s">
        <v>8</v>
      </c>
      <c r="L20" s="66">
        <v>0.8125</v>
      </c>
      <c r="O20" s="26"/>
      <c r="P20" s="26"/>
      <c r="Q20" s="27"/>
      <c r="R20" s="23"/>
    </row>
    <row r="21" spans="1:18" ht="12.75">
      <c r="A21" s="67">
        <v>3</v>
      </c>
      <c r="B21" s="68" t="s">
        <v>79</v>
      </c>
      <c r="C21" s="69" t="s">
        <v>8</v>
      </c>
      <c r="D21" s="66">
        <v>0.8125</v>
      </c>
      <c r="E21" s="63">
        <v>3</v>
      </c>
      <c r="F21" s="68" t="s">
        <v>98</v>
      </c>
      <c r="G21" s="69" t="s">
        <v>7</v>
      </c>
      <c r="H21" s="66">
        <v>0.8125</v>
      </c>
      <c r="I21" s="63">
        <v>3</v>
      </c>
      <c r="J21" s="68" t="s">
        <v>84</v>
      </c>
      <c r="K21" s="69" t="s">
        <v>8</v>
      </c>
      <c r="L21" s="66">
        <v>0.8333333333333334</v>
      </c>
      <c r="N21" s="26"/>
      <c r="O21" s="26"/>
      <c r="P21" s="26"/>
      <c r="Q21" s="27"/>
      <c r="R21" s="23"/>
    </row>
    <row r="22" spans="1:18" ht="38.25">
      <c r="A22" s="67">
        <v>4</v>
      </c>
      <c r="B22" s="68" t="s">
        <v>125</v>
      </c>
      <c r="C22" s="69" t="s">
        <v>9</v>
      </c>
      <c r="D22" s="66">
        <v>0.8333333333333334</v>
      </c>
      <c r="E22" s="63">
        <v>4</v>
      </c>
      <c r="F22" s="68" t="s">
        <v>44</v>
      </c>
      <c r="G22" s="70" t="s">
        <v>12</v>
      </c>
      <c r="H22" s="71">
        <v>0.8125</v>
      </c>
      <c r="I22" s="67">
        <v>4</v>
      </c>
      <c r="J22" s="68" t="s">
        <v>83</v>
      </c>
      <c r="K22" s="69" t="s">
        <v>8</v>
      </c>
      <c r="L22" s="66">
        <v>0.8125</v>
      </c>
      <c r="O22" s="26"/>
      <c r="P22" s="26"/>
      <c r="Q22" s="27"/>
      <c r="R22" s="23"/>
    </row>
    <row r="23" spans="1:18" ht="25.5">
      <c r="A23" s="67">
        <v>5</v>
      </c>
      <c r="B23" s="68" t="s">
        <v>88</v>
      </c>
      <c r="C23" s="69" t="s">
        <v>8</v>
      </c>
      <c r="D23" s="66">
        <v>0.8125</v>
      </c>
      <c r="E23" s="67">
        <v>5</v>
      </c>
      <c r="F23" s="68" t="s">
        <v>126</v>
      </c>
      <c r="G23" s="69" t="s">
        <v>8</v>
      </c>
      <c r="H23" s="66">
        <v>0.8125</v>
      </c>
      <c r="I23" s="67">
        <v>5</v>
      </c>
      <c r="J23" s="68" t="s">
        <v>101</v>
      </c>
      <c r="K23" s="69" t="s">
        <v>7</v>
      </c>
      <c r="L23" s="66">
        <v>0.8333333333333334</v>
      </c>
      <c r="N23" s="26"/>
      <c r="O23" s="26"/>
      <c r="P23" s="26"/>
      <c r="Q23" s="27"/>
      <c r="R23" s="23"/>
    </row>
    <row r="24" spans="1:18" ht="38.25">
      <c r="A24" s="67">
        <v>6</v>
      </c>
      <c r="B24" s="68" t="s">
        <v>77</v>
      </c>
      <c r="C24" s="69" t="s">
        <v>13</v>
      </c>
      <c r="D24" s="66">
        <v>0.8125</v>
      </c>
      <c r="E24" s="67">
        <v>6</v>
      </c>
      <c r="F24" s="68" t="s">
        <v>80</v>
      </c>
      <c r="G24" s="69" t="s">
        <v>8</v>
      </c>
      <c r="H24" s="66">
        <v>0.7916666666666666</v>
      </c>
      <c r="I24" s="67">
        <v>6</v>
      </c>
      <c r="J24" s="68" t="s">
        <v>112</v>
      </c>
      <c r="K24" s="69" t="s">
        <v>13</v>
      </c>
      <c r="L24" s="66">
        <v>0.8125</v>
      </c>
      <c r="O24" s="26"/>
      <c r="P24" s="26"/>
      <c r="Q24" s="27"/>
      <c r="R24" s="23"/>
    </row>
    <row r="25" spans="1:18" ht="12.75">
      <c r="A25" s="63">
        <v>7</v>
      </c>
      <c r="B25" s="68" t="s">
        <v>41</v>
      </c>
      <c r="C25" s="69" t="s">
        <v>7</v>
      </c>
      <c r="D25" s="66">
        <v>0.8125</v>
      </c>
      <c r="E25" s="63">
        <v>7</v>
      </c>
      <c r="F25" s="68" t="s">
        <v>128</v>
      </c>
      <c r="G25" s="69" t="s">
        <v>8</v>
      </c>
      <c r="H25" s="66">
        <v>0.7916666666666666</v>
      </c>
      <c r="I25" s="67">
        <v>7</v>
      </c>
      <c r="J25" s="68" t="s">
        <v>82</v>
      </c>
      <c r="K25" s="69" t="s">
        <v>7</v>
      </c>
      <c r="L25" s="66">
        <v>0.8125</v>
      </c>
      <c r="N25" s="26"/>
      <c r="O25" s="26"/>
      <c r="P25" s="26"/>
      <c r="Q25" s="27"/>
      <c r="R25" s="23"/>
    </row>
    <row r="26" spans="1:18" ht="12.75">
      <c r="A26" s="67">
        <v>8</v>
      </c>
      <c r="B26" s="68" t="s">
        <v>122</v>
      </c>
      <c r="C26" s="69" t="s">
        <v>8</v>
      </c>
      <c r="D26" s="66">
        <v>0.8125</v>
      </c>
      <c r="E26" s="67">
        <v>8</v>
      </c>
      <c r="F26" s="68" t="s">
        <v>60</v>
      </c>
      <c r="G26" s="69" t="s">
        <v>9</v>
      </c>
      <c r="H26" s="66">
        <v>0.8125</v>
      </c>
      <c r="I26" s="67">
        <v>8</v>
      </c>
      <c r="J26" s="68" t="s">
        <v>129</v>
      </c>
      <c r="K26" s="69" t="s">
        <v>13</v>
      </c>
      <c r="L26" s="66">
        <v>0.7916666666666666</v>
      </c>
      <c r="N26" s="26"/>
      <c r="O26" s="26"/>
      <c r="P26" s="26"/>
      <c r="Q26" s="27"/>
      <c r="R26" s="23"/>
    </row>
    <row r="27" spans="1:18" ht="25.5">
      <c r="A27" s="67">
        <v>9</v>
      </c>
      <c r="B27" s="68" t="s">
        <v>123</v>
      </c>
      <c r="C27" s="70" t="s">
        <v>12</v>
      </c>
      <c r="D27" s="71">
        <v>0.8125</v>
      </c>
      <c r="E27" s="67">
        <v>9</v>
      </c>
      <c r="F27" s="68" t="s">
        <v>127</v>
      </c>
      <c r="G27" s="69" t="s">
        <v>9</v>
      </c>
      <c r="H27" s="66">
        <v>0.8125</v>
      </c>
      <c r="I27" s="67">
        <v>9</v>
      </c>
      <c r="J27" s="68" t="s">
        <v>26</v>
      </c>
      <c r="K27" s="69" t="s">
        <v>12</v>
      </c>
      <c r="L27" s="66">
        <v>0.8125</v>
      </c>
      <c r="O27" s="26"/>
      <c r="P27" s="26"/>
      <c r="Q27" s="32"/>
      <c r="R27" s="35"/>
    </row>
    <row r="28" spans="1:18" ht="25.5">
      <c r="A28" s="52">
        <v>10</v>
      </c>
      <c r="B28" s="54" t="s">
        <v>124</v>
      </c>
      <c r="C28" s="57" t="s">
        <v>9</v>
      </c>
      <c r="D28" s="58">
        <v>0.8125</v>
      </c>
      <c r="E28" s="47">
        <v>10</v>
      </c>
      <c r="F28" s="54" t="s">
        <v>100</v>
      </c>
      <c r="G28" s="57" t="s">
        <v>7</v>
      </c>
      <c r="H28" s="58">
        <v>0.8125</v>
      </c>
      <c r="I28" s="52">
        <v>10</v>
      </c>
      <c r="J28" s="54" t="s">
        <v>85</v>
      </c>
      <c r="K28" s="57" t="s">
        <v>13</v>
      </c>
      <c r="L28" s="58">
        <v>0.8229166666666666</v>
      </c>
      <c r="P28" s="26"/>
      <c r="Q28" s="32"/>
      <c r="R28" s="35"/>
    </row>
    <row r="29" spans="1:12" ht="12.75">
      <c r="A29" s="7"/>
      <c r="B29" s="9" t="s">
        <v>0</v>
      </c>
      <c r="C29" s="9" t="s">
        <v>0</v>
      </c>
      <c r="D29" s="10" t="s">
        <v>0</v>
      </c>
      <c r="E29" s="9"/>
      <c r="F29" s="13" t="s">
        <v>0</v>
      </c>
      <c r="G29" s="9"/>
      <c r="H29" s="9"/>
      <c r="I29" s="9" t="s">
        <v>0</v>
      </c>
      <c r="J29" s="12" t="s">
        <v>0</v>
      </c>
      <c r="K29" s="8"/>
      <c r="L29" s="11" t="s">
        <v>0</v>
      </c>
    </row>
    <row r="30" spans="2:12" ht="12.75">
      <c r="B30" s="13" t="s">
        <v>0</v>
      </c>
      <c r="C30" s="9"/>
      <c r="D30" s="9"/>
      <c r="E30" s="9"/>
      <c r="F30" s="13" t="s">
        <v>0</v>
      </c>
      <c r="G30" s="9"/>
      <c r="H30" s="9"/>
      <c r="I30" s="9"/>
      <c r="J30" s="9"/>
      <c r="K30" s="9"/>
      <c r="L30" s="9"/>
    </row>
    <row r="31" spans="1:12" ht="12.75">
      <c r="A31" s="59" t="s">
        <v>1</v>
      </c>
      <c r="B31" s="38" t="s">
        <v>20</v>
      </c>
      <c r="C31" s="38" t="s">
        <v>3</v>
      </c>
      <c r="D31" s="39" t="s">
        <v>4</v>
      </c>
      <c r="E31" s="7" t="s">
        <v>0</v>
      </c>
      <c r="F31" s="13" t="s">
        <v>0</v>
      </c>
      <c r="G31" s="7" t="s">
        <v>0</v>
      </c>
      <c r="H31" s="7" t="s">
        <v>0</v>
      </c>
      <c r="I31" s="37" t="s">
        <v>1</v>
      </c>
      <c r="J31" s="38" t="s">
        <v>21</v>
      </c>
      <c r="K31" s="38" t="s">
        <v>3</v>
      </c>
      <c r="L31" s="39" t="s">
        <v>4</v>
      </c>
    </row>
    <row r="32" spans="1:12" ht="12.75">
      <c r="A32" s="60"/>
      <c r="B32" s="41"/>
      <c r="C32" s="51"/>
      <c r="D32" s="56"/>
      <c r="E32" s="8"/>
      <c r="F32" s="13" t="s">
        <v>0</v>
      </c>
      <c r="G32" s="7"/>
      <c r="H32" s="7"/>
      <c r="I32" s="40"/>
      <c r="J32" s="61"/>
      <c r="K32" s="51"/>
      <c r="L32" s="43"/>
    </row>
    <row r="33" spans="1:15" ht="12.75">
      <c r="A33" s="67">
        <v>1</v>
      </c>
      <c r="B33" s="68" t="s">
        <v>130</v>
      </c>
      <c r="C33" s="73" t="s">
        <v>8</v>
      </c>
      <c r="D33" s="66">
        <v>0.8125</v>
      </c>
      <c r="E33" s="32"/>
      <c r="F33" s="36" t="s">
        <v>0</v>
      </c>
      <c r="G33" s="30"/>
      <c r="H33" s="30"/>
      <c r="I33" s="67">
        <v>1</v>
      </c>
      <c r="J33" s="68" t="s">
        <v>113</v>
      </c>
      <c r="K33" s="69" t="s">
        <v>9</v>
      </c>
      <c r="L33" s="66">
        <v>0.8125</v>
      </c>
      <c r="O33" s="26"/>
    </row>
    <row r="34" spans="1:16" ht="37.5" customHeight="1">
      <c r="A34" s="67">
        <v>2</v>
      </c>
      <c r="B34" s="68" t="s">
        <v>17</v>
      </c>
      <c r="C34" s="73" t="s">
        <v>8</v>
      </c>
      <c r="D34" s="66">
        <v>0.8125</v>
      </c>
      <c r="E34" s="32"/>
      <c r="F34" s="36" t="s">
        <v>0</v>
      </c>
      <c r="G34" s="30"/>
      <c r="H34" s="30"/>
      <c r="I34" s="67">
        <v>2</v>
      </c>
      <c r="J34" s="68" t="s">
        <v>109</v>
      </c>
      <c r="K34" s="69" t="s">
        <v>9</v>
      </c>
      <c r="L34" s="66">
        <v>0.8125</v>
      </c>
      <c r="N34" s="26"/>
      <c r="O34" s="26"/>
      <c r="P34" s="29"/>
    </row>
    <row r="35" spans="1:18" ht="25.5">
      <c r="A35" s="67">
        <v>3</v>
      </c>
      <c r="B35" s="64" t="s">
        <v>103</v>
      </c>
      <c r="C35" s="73" t="s">
        <v>7</v>
      </c>
      <c r="D35" s="66">
        <v>0.8125</v>
      </c>
      <c r="E35" s="32"/>
      <c r="F35" s="36" t="s">
        <v>0</v>
      </c>
      <c r="G35" s="30"/>
      <c r="H35" s="30"/>
      <c r="I35" s="63">
        <v>3</v>
      </c>
      <c r="J35" s="68" t="s">
        <v>91</v>
      </c>
      <c r="K35" s="69" t="s">
        <v>7</v>
      </c>
      <c r="L35" s="66">
        <v>0.8333333333333334</v>
      </c>
      <c r="N35" s="7"/>
      <c r="O35" s="26"/>
      <c r="P35" s="26"/>
      <c r="Q35" s="27"/>
      <c r="R35" s="23"/>
    </row>
    <row r="36" spans="1:15" ht="12.75">
      <c r="A36" s="67">
        <v>4</v>
      </c>
      <c r="B36" s="68" t="s">
        <v>51</v>
      </c>
      <c r="C36" s="73" t="s">
        <v>7</v>
      </c>
      <c r="D36" s="74">
        <v>0.8125</v>
      </c>
      <c r="E36" s="32"/>
      <c r="F36" s="36" t="s">
        <v>0</v>
      </c>
      <c r="G36" s="30"/>
      <c r="H36" s="30"/>
      <c r="I36" s="67">
        <v>4</v>
      </c>
      <c r="J36" s="68" t="s">
        <v>90</v>
      </c>
      <c r="K36" s="69" t="s">
        <v>7</v>
      </c>
      <c r="L36" s="66">
        <v>0.8125</v>
      </c>
      <c r="O36" s="26"/>
    </row>
    <row r="37" spans="1:15" ht="12.75">
      <c r="A37" s="67">
        <v>5</v>
      </c>
      <c r="B37" s="68" t="s">
        <v>87</v>
      </c>
      <c r="C37" s="73" t="s">
        <v>7</v>
      </c>
      <c r="D37" s="66">
        <v>0.8125</v>
      </c>
      <c r="E37" s="36" t="s">
        <v>0</v>
      </c>
      <c r="F37" s="36" t="s">
        <v>0</v>
      </c>
      <c r="G37" s="30"/>
      <c r="H37" s="30"/>
      <c r="I37" s="67">
        <v>5</v>
      </c>
      <c r="J37" s="68" t="s">
        <v>19</v>
      </c>
      <c r="K37" s="69" t="s">
        <v>12</v>
      </c>
      <c r="L37" s="66">
        <v>0.84375</v>
      </c>
      <c r="O37" s="26"/>
    </row>
    <row r="38" spans="1:16" ht="25.5">
      <c r="A38" s="67">
        <v>6</v>
      </c>
      <c r="B38" s="68" t="s">
        <v>86</v>
      </c>
      <c r="C38" s="73" t="s">
        <v>9</v>
      </c>
      <c r="D38" s="66">
        <v>0.8125</v>
      </c>
      <c r="E38" s="32"/>
      <c r="F38" s="36" t="s">
        <v>0</v>
      </c>
      <c r="G38" s="30"/>
      <c r="H38" s="30"/>
      <c r="I38" s="67">
        <v>6</v>
      </c>
      <c r="J38" s="68" t="s">
        <v>92</v>
      </c>
      <c r="K38" s="69" t="s">
        <v>8</v>
      </c>
      <c r="L38" s="66">
        <v>0.8125</v>
      </c>
      <c r="N38" s="26"/>
      <c r="O38" s="26"/>
      <c r="P38" s="23"/>
    </row>
    <row r="39" spans="1:15" ht="12.75">
      <c r="A39" s="67">
        <v>7</v>
      </c>
      <c r="B39" s="68" t="s">
        <v>102</v>
      </c>
      <c r="C39" s="73" t="s">
        <v>7</v>
      </c>
      <c r="D39" s="66">
        <v>0.8125</v>
      </c>
      <c r="E39" s="32"/>
      <c r="F39" s="36" t="s">
        <v>0</v>
      </c>
      <c r="G39" s="30"/>
      <c r="H39" s="30"/>
      <c r="I39" s="67">
        <v>7</v>
      </c>
      <c r="J39" s="68" t="s">
        <v>89</v>
      </c>
      <c r="K39" s="69" t="s">
        <v>8</v>
      </c>
      <c r="L39" s="66">
        <v>0.8125</v>
      </c>
      <c r="O39" s="26"/>
    </row>
    <row r="40" spans="1:15" ht="12.75">
      <c r="A40" s="67">
        <v>8</v>
      </c>
      <c r="B40" s="68" t="s">
        <v>131</v>
      </c>
      <c r="C40" s="73" t="s">
        <v>9</v>
      </c>
      <c r="D40" s="66">
        <v>0.8333333333333334</v>
      </c>
      <c r="E40" s="32"/>
      <c r="F40" s="36" t="s">
        <v>0</v>
      </c>
      <c r="G40" s="30"/>
      <c r="H40" s="30"/>
      <c r="I40" s="67">
        <v>8</v>
      </c>
      <c r="J40" s="68" t="s">
        <v>132</v>
      </c>
      <c r="K40" s="69" t="s">
        <v>12</v>
      </c>
      <c r="L40" s="66">
        <v>0.8125</v>
      </c>
      <c r="O40" s="26"/>
    </row>
    <row r="41" spans="1:15" ht="25.5">
      <c r="A41" s="67">
        <v>9</v>
      </c>
      <c r="B41" s="68" t="s">
        <v>38</v>
      </c>
      <c r="C41" s="73" t="s">
        <v>0</v>
      </c>
      <c r="D41" s="66" t="s">
        <v>0</v>
      </c>
      <c r="E41" s="32"/>
      <c r="F41" s="36" t="s">
        <v>0</v>
      </c>
      <c r="G41" s="30"/>
      <c r="H41" s="30"/>
      <c r="I41" s="67">
        <v>9</v>
      </c>
      <c r="J41" s="68" t="s">
        <v>133</v>
      </c>
      <c r="K41" s="69" t="s">
        <v>7</v>
      </c>
      <c r="L41" s="66">
        <v>0.7916666666666666</v>
      </c>
      <c r="O41" s="26"/>
    </row>
    <row r="42" spans="1:15" ht="12.75">
      <c r="A42" s="52">
        <v>10</v>
      </c>
      <c r="B42" s="54" t="s">
        <v>38</v>
      </c>
      <c r="C42" s="53"/>
      <c r="D42" s="50"/>
      <c r="E42" s="32"/>
      <c r="F42" s="36" t="s">
        <v>0</v>
      </c>
      <c r="G42" s="18"/>
      <c r="H42" s="18"/>
      <c r="I42" s="52">
        <v>10</v>
      </c>
      <c r="J42" s="62" t="s">
        <v>38</v>
      </c>
      <c r="K42" s="57" t="s">
        <v>0</v>
      </c>
      <c r="L42" s="58" t="s">
        <v>0</v>
      </c>
      <c r="O42" s="26"/>
    </row>
    <row r="43" spans="1:12" ht="12.75">
      <c r="A43" s="7"/>
      <c r="B43" s="8"/>
      <c r="C43" s="9"/>
      <c r="D43" s="10"/>
      <c r="E43" s="8"/>
      <c r="F43" s="13" t="s">
        <v>0</v>
      </c>
      <c r="G43" s="9"/>
      <c r="H43" s="9"/>
      <c r="I43" s="7"/>
      <c r="J43" s="9"/>
      <c r="K43" s="8"/>
      <c r="L43" s="10"/>
    </row>
    <row r="44" spans="1:12" ht="12.75">
      <c r="A44" s="7"/>
      <c r="B44" s="8"/>
      <c r="C44" s="9"/>
      <c r="D44" s="10"/>
      <c r="E44" s="8"/>
      <c r="F44" s="15"/>
      <c r="G44" s="9"/>
      <c r="H44" s="9"/>
      <c r="I44" s="7"/>
      <c r="J44" s="8"/>
      <c r="K44" s="8"/>
      <c r="L44" s="11"/>
    </row>
    <row r="45" ht="12.75">
      <c r="A45" s="9"/>
    </row>
    <row r="46" spans="1:12" ht="12.75">
      <c r="A46" s="37" t="s">
        <v>1</v>
      </c>
      <c r="B46" s="38" t="s">
        <v>23</v>
      </c>
      <c r="C46" s="38" t="s">
        <v>3</v>
      </c>
      <c r="D46" s="39" t="s">
        <v>4</v>
      </c>
      <c r="E46" s="37" t="s">
        <v>1</v>
      </c>
      <c r="F46" s="38" t="s">
        <v>24</v>
      </c>
      <c r="G46" s="38" t="s">
        <v>3</v>
      </c>
      <c r="H46" s="39" t="s">
        <v>4</v>
      </c>
      <c r="I46" s="37" t="s">
        <v>1</v>
      </c>
      <c r="J46" s="38" t="s">
        <v>25</v>
      </c>
      <c r="K46" s="38" t="s">
        <v>3</v>
      </c>
      <c r="L46" s="39" t="s">
        <v>4</v>
      </c>
    </row>
    <row r="47" spans="1:12" ht="12.75">
      <c r="A47" s="40"/>
      <c r="B47" s="41"/>
      <c r="C47" s="51"/>
      <c r="D47" s="43"/>
      <c r="E47" s="40"/>
      <c r="F47" s="41" t="s">
        <v>0</v>
      </c>
      <c r="G47" s="51"/>
      <c r="H47" s="43"/>
      <c r="I47" s="40"/>
      <c r="J47" s="41"/>
      <c r="K47" s="51"/>
      <c r="L47" s="43"/>
    </row>
    <row r="48" spans="1:18" ht="25.5">
      <c r="A48" s="63">
        <v>1</v>
      </c>
      <c r="B48" s="68" t="s">
        <v>50</v>
      </c>
      <c r="C48" s="69" t="s">
        <v>7</v>
      </c>
      <c r="D48" s="75">
        <v>0.8125</v>
      </c>
      <c r="E48" s="63">
        <v>1</v>
      </c>
      <c r="F48" s="68" t="s">
        <v>94</v>
      </c>
      <c r="G48" s="69" t="s">
        <v>13</v>
      </c>
      <c r="H48" s="66">
        <v>0.8125</v>
      </c>
      <c r="I48" s="67">
        <v>1</v>
      </c>
      <c r="J48" s="68" t="s">
        <v>96</v>
      </c>
      <c r="K48" s="69" t="s">
        <v>8</v>
      </c>
      <c r="L48" s="66">
        <v>0.8125</v>
      </c>
      <c r="N48" s="26"/>
      <c r="O48" s="26"/>
      <c r="P48" s="26"/>
      <c r="Q48" s="27"/>
      <c r="R48" s="23"/>
    </row>
    <row r="49" spans="1:15" ht="38.25">
      <c r="A49" s="67">
        <v>2</v>
      </c>
      <c r="B49" s="68" t="s">
        <v>59</v>
      </c>
      <c r="C49" s="69" t="s">
        <v>8</v>
      </c>
      <c r="D49" s="66">
        <v>0.8125</v>
      </c>
      <c r="E49" s="67">
        <v>2</v>
      </c>
      <c r="F49" s="68" t="s">
        <v>95</v>
      </c>
      <c r="G49" s="76" t="s">
        <v>8</v>
      </c>
      <c r="H49" s="75">
        <v>0.8333333333333334</v>
      </c>
      <c r="I49" s="67">
        <v>2</v>
      </c>
      <c r="J49" s="68" t="s">
        <v>136</v>
      </c>
      <c r="K49" s="69" t="s">
        <v>12</v>
      </c>
      <c r="L49" s="66">
        <v>0.8333333333333334</v>
      </c>
      <c r="O49" s="26"/>
    </row>
    <row r="50" spans="1:16" ht="25.5">
      <c r="A50" s="67">
        <v>3</v>
      </c>
      <c r="B50" s="68" t="s">
        <v>104</v>
      </c>
      <c r="C50" s="69" t="s">
        <v>8</v>
      </c>
      <c r="D50" s="75">
        <v>0.8125</v>
      </c>
      <c r="E50" s="67">
        <v>3</v>
      </c>
      <c r="F50" s="68" t="s">
        <v>18</v>
      </c>
      <c r="G50" s="76" t="s">
        <v>12</v>
      </c>
      <c r="H50" s="66">
        <v>0.7916666666666666</v>
      </c>
      <c r="I50" s="67">
        <v>3</v>
      </c>
      <c r="J50" s="68" t="s">
        <v>55</v>
      </c>
      <c r="K50" s="69" t="s">
        <v>12</v>
      </c>
      <c r="L50" s="66">
        <v>0.8333333333333334</v>
      </c>
      <c r="N50" s="26"/>
      <c r="O50" s="26"/>
      <c r="P50" s="23"/>
    </row>
    <row r="51" spans="1:15" ht="38.25">
      <c r="A51" s="67">
        <v>4</v>
      </c>
      <c r="B51" s="68" t="s">
        <v>48</v>
      </c>
      <c r="C51" s="69" t="s">
        <v>13</v>
      </c>
      <c r="D51" s="75">
        <v>0.7916666666666666</v>
      </c>
      <c r="E51" s="67">
        <v>4</v>
      </c>
      <c r="F51" s="68" t="s">
        <v>54</v>
      </c>
      <c r="G51" s="69" t="s">
        <v>7</v>
      </c>
      <c r="H51" s="75">
        <v>0.8125</v>
      </c>
      <c r="I51" s="67">
        <v>4</v>
      </c>
      <c r="J51" s="68" t="s">
        <v>135</v>
      </c>
      <c r="K51" s="69" t="s">
        <v>8</v>
      </c>
      <c r="L51" s="66">
        <v>0.8125</v>
      </c>
      <c r="O51" s="26"/>
    </row>
    <row r="52" spans="1:16" ht="25.5">
      <c r="A52" s="63">
        <v>5</v>
      </c>
      <c r="B52" s="68" t="s">
        <v>57</v>
      </c>
      <c r="C52" s="69" t="s">
        <v>7</v>
      </c>
      <c r="D52" s="75">
        <v>0.7916666666666666</v>
      </c>
      <c r="E52" s="67">
        <v>5</v>
      </c>
      <c r="F52" s="68" t="s">
        <v>105</v>
      </c>
      <c r="G52" s="69" t="s">
        <v>13</v>
      </c>
      <c r="H52" s="75">
        <v>0.8229166666666666</v>
      </c>
      <c r="I52" s="63">
        <v>5</v>
      </c>
      <c r="J52" s="68" t="s">
        <v>106</v>
      </c>
      <c r="K52" s="69" t="s">
        <v>12</v>
      </c>
      <c r="L52" s="66">
        <v>0.8125</v>
      </c>
      <c r="N52" s="26"/>
      <c r="O52" s="26"/>
      <c r="P52" s="23"/>
    </row>
    <row r="53" spans="1:15" ht="12.75">
      <c r="A53" s="67">
        <v>6</v>
      </c>
      <c r="B53" s="68" t="s">
        <v>22</v>
      </c>
      <c r="C53" s="69" t="s">
        <v>9</v>
      </c>
      <c r="D53" s="66">
        <v>0.8125</v>
      </c>
      <c r="E53" s="67">
        <v>6</v>
      </c>
      <c r="F53" s="68" t="s">
        <v>93</v>
      </c>
      <c r="G53" s="69" t="s">
        <v>8</v>
      </c>
      <c r="H53" s="66">
        <v>0.7916666666666666</v>
      </c>
      <c r="I53" s="67">
        <v>6</v>
      </c>
      <c r="J53" s="68" t="s">
        <v>97</v>
      </c>
      <c r="K53" s="69" t="s">
        <v>12</v>
      </c>
      <c r="L53" s="66">
        <v>0.8125</v>
      </c>
      <c r="O53" s="26"/>
    </row>
    <row r="54" spans="1:16" ht="12.75">
      <c r="A54" s="67">
        <v>7</v>
      </c>
      <c r="B54" s="68" t="s">
        <v>49</v>
      </c>
      <c r="C54" s="69" t="s">
        <v>7</v>
      </c>
      <c r="D54" s="75">
        <v>0.8333333333333334</v>
      </c>
      <c r="E54" s="67">
        <v>7</v>
      </c>
      <c r="F54" s="68" t="s">
        <v>134</v>
      </c>
      <c r="G54" s="69" t="s">
        <v>7</v>
      </c>
      <c r="H54" s="75">
        <v>0.8125</v>
      </c>
      <c r="I54" s="63">
        <v>7</v>
      </c>
      <c r="J54" s="68" t="s">
        <v>56</v>
      </c>
      <c r="K54" s="69" t="s">
        <v>8</v>
      </c>
      <c r="L54" s="66">
        <v>0.8333333333333334</v>
      </c>
      <c r="N54" s="26"/>
      <c r="O54" s="26"/>
      <c r="P54" s="23"/>
    </row>
    <row r="55" spans="1:15" ht="12.75">
      <c r="A55" s="67">
        <v>8</v>
      </c>
      <c r="B55" s="68" t="s">
        <v>38</v>
      </c>
      <c r="C55" s="69" t="s">
        <v>0</v>
      </c>
      <c r="D55" s="66" t="s">
        <v>0</v>
      </c>
      <c r="E55" s="63">
        <v>8</v>
      </c>
      <c r="F55" s="68" t="s">
        <v>52</v>
      </c>
      <c r="G55" s="76" t="s">
        <v>13</v>
      </c>
      <c r="H55" s="75">
        <v>0.8125</v>
      </c>
      <c r="I55" s="67">
        <v>8</v>
      </c>
      <c r="J55" s="68" t="s">
        <v>38</v>
      </c>
      <c r="K55" s="69" t="s">
        <v>0</v>
      </c>
      <c r="L55" s="66" t="s">
        <v>0</v>
      </c>
      <c r="O55" s="26"/>
    </row>
    <row r="56" spans="1:15" ht="12.75">
      <c r="A56" s="67">
        <v>9</v>
      </c>
      <c r="B56" s="68" t="s">
        <v>38</v>
      </c>
      <c r="C56" s="69" t="s">
        <v>0</v>
      </c>
      <c r="D56" s="66" t="s">
        <v>0</v>
      </c>
      <c r="E56" s="63">
        <v>9</v>
      </c>
      <c r="F56" s="68" t="s">
        <v>53</v>
      </c>
      <c r="G56" s="76" t="s">
        <v>8</v>
      </c>
      <c r="H56" s="75">
        <v>0.8125</v>
      </c>
      <c r="I56" s="67">
        <v>9</v>
      </c>
      <c r="J56" s="68" t="s">
        <v>38</v>
      </c>
      <c r="K56" s="70" t="s">
        <v>0</v>
      </c>
      <c r="L56" s="71" t="s">
        <v>0</v>
      </c>
      <c r="O56" s="26"/>
    </row>
    <row r="57" spans="1:15" ht="12.75">
      <c r="A57" s="52">
        <v>10</v>
      </c>
      <c r="B57" s="54" t="s">
        <v>38</v>
      </c>
      <c r="C57" s="57" t="s">
        <v>0</v>
      </c>
      <c r="D57" s="58" t="s">
        <v>0</v>
      </c>
      <c r="E57" s="52">
        <v>10</v>
      </c>
      <c r="F57" s="54" t="s">
        <v>38</v>
      </c>
      <c r="G57" s="49" t="s">
        <v>0</v>
      </c>
      <c r="H57" s="50" t="s">
        <v>0</v>
      </c>
      <c r="I57" s="52">
        <v>10</v>
      </c>
      <c r="J57" s="54" t="s">
        <v>38</v>
      </c>
      <c r="K57" s="57" t="s">
        <v>0</v>
      </c>
      <c r="L57" s="58" t="s">
        <v>0</v>
      </c>
      <c r="O57" s="26"/>
    </row>
    <row r="58" spans="1:15" ht="12.75">
      <c r="A58" s="18" t="s">
        <v>0</v>
      </c>
      <c r="B58" s="31" t="s">
        <v>0</v>
      </c>
      <c r="C58" s="18" t="s">
        <v>0</v>
      </c>
      <c r="D58" s="34" t="s">
        <v>0</v>
      </c>
      <c r="E58" s="30"/>
      <c r="F58" s="26"/>
      <c r="G58" s="27"/>
      <c r="H58" s="23"/>
      <c r="I58" s="30"/>
      <c r="J58" s="31"/>
      <c r="K58" s="32"/>
      <c r="L58" s="33"/>
      <c r="O58" s="26"/>
    </row>
    <row r="59" spans="1:16" ht="12.75">
      <c r="A59" s="18" t="s">
        <v>0</v>
      </c>
      <c r="B59" s="18" t="s">
        <v>0</v>
      </c>
      <c r="C59" s="18" t="s">
        <v>0</v>
      </c>
      <c r="D59" s="34" t="s">
        <v>0</v>
      </c>
      <c r="E59" s="30"/>
      <c r="F59" s="26"/>
      <c r="G59" s="27"/>
      <c r="H59" s="23"/>
      <c r="I59" s="30"/>
      <c r="J59" s="32"/>
      <c r="K59" s="32" t="s">
        <v>0</v>
      </c>
      <c r="L59" s="33" t="s">
        <v>0</v>
      </c>
      <c r="N59" s="26"/>
      <c r="O59" s="26"/>
      <c r="P59" s="23"/>
    </row>
    <row r="60" spans="6:12" ht="12.75">
      <c r="F60" t="s">
        <v>0</v>
      </c>
      <c r="J60" s="16" t="s">
        <v>0</v>
      </c>
      <c r="L60" s="14" t="s">
        <v>0</v>
      </c>
    </row>
    <row r="61" ht="12.75">
      <c r="J61" s="16" t="s">
        <v>27</v>
      </c>
    </row>
  </sheetData>
  <printOptions gridLines="1"/>
  <pageMargins left="0.5905511811023623" right="0.3937007874015748" top="0.3937007874015748" bottom="0.5905511811023623" header="0.5118110236220472" footer="0.5118110236220472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3" sqref="A3"/>
    </sheetView>
  </sheetViews>
  <sheetFormatPr defaultColWidth="11.421875" defaultRowHeight="12.75"/>
  <cols>
    <col min="1" max="1" width="10.28125" style="0" customWidth="1"/>
    <col min="2" max="2" width="3.7109375" style="0" customWidth="1"/>
    <col min="3" max="3" width="5.7109375" style="0" customWidth="1"/>
    <col min="4" max="4" width="21.7109375" style="0" customWidth="1"/>
    <col min="5" max="5" width="1.7109375" style="0" customWidth="1"/>
    <col min="6" max="6" width="21.7109375" style="0" customWidth="1"/>
    <col min="7" max="7" width="10.28125" style="0" customWidth="1"/>
    <col min="8" max="8" width="3.7109375" style="0" customWidth="1"/>
    <col min="9" max="9" width="5.7109375" style="0" customWidth="1"/>
  </cols>
  <sheetData>
    <row r="1" spans="1:9" ht="12.75">
      <c r="A1" s="1" t="s">
        <v>31</v>
      </c>
      <c r="I1" s="20" t="s">
        <v>32</v>
      </c>
    </row>
    <row r="2" ht="15.75">
      <c r="D2" s="4" t="s">
        <v>2</v>
      </c>
    </row>
    <row r="4" spans="1:4" ht="15.75">
      <c r="A4" s="4" t="s">
        <v>33</v>
      </c>
      <c r="D4" s="1" t="str">
        <f>Spieltage!A3&amp;" "&amp;Spieltage!B3</f>
        <v>Saison 2013/2014</v>
      </c>
    </row>
    <row r="6" spans="1:7" ht="12.75">
      <c r="A6" s="1" t="s">
        <v>28</v>
      </c>
      <c r="G6" s="1" t="s">
        <v>30</v>
      </c>
    </row>
    <row r="8" spans="1:9" ht="12.75">
      <c r="A8" s="17">
        <f>IF(B8="Mo",Spieltage!$B$8,IF(B8="Di",Spieltage!$B$9,IF(B8="Mi",Spieltage!$B$10,IF(B8="Do",Spieltage!$B$11,IF(B8="Fr",Spieltage!$B$12,"")))))</f>
        <v>41529</v>
      </c>
      <c r="B8" t="str">
        <f>VLOOKUP(1,Saarlandliga,3,FALSE)</f>
        <v>Do</v>
      </c>
      <c r="C8" s="19">
        <f>VLOOKUP(1,Saarlandliga,4,FALSE)</f>
        <v>0.8333333333333334</v>
      </c>
      <c r="D8" t="str">
        <f>VLOOKUP(1,Saarlandliga,2,FALSE)</f>
        <v>TTC Altenwald </v>
      </c>
      <c r="E8" s="18" t="s">
        <v>35</v>
      </c>
      <c r="F8" t="str">
        <f>VLOOKUP(9,Saarlandliga,2,FALSE)</f>
        <v>TTG Fremersdorf-Gerlfangen</v>
      </c>
      <c r="G8" s="17">
        <f>IF(H8="Mo",Spieltage!$F$8,IF(H8="Di",Spieltage!$F$9,IF(H8="Mi",Spieltage!$F$10,IF(H8="Do",Spieltage!$F$11,IF(H8="Fr",Spieltage!$F$12,"")))))</f>
        <v>41646</v>
      </c>
      <c r="H8" t="str">
        <f>VLOOKUP(9,Saarlandliga,3,FALSE)</f>
        <v>Di</v>
      </c>
      <c r="I8" s="19">
        <f>VLOOKUP(9,Saarlandliga,4,FALSE)</f>
        <v>0.7916666666666666</v>
      </c>
    </row>
    <row r="9" spans="1:9" ht="12.75">
      <c r="A9" s="17">
        <f>IF(B9="Mo",Spieltage!$B$8,IF(B9="Di",Spieltage!$B$9,IF(B9="Mi",Spieltage!$B$10,IF(B9="Do",Spieltage!$B$11,IF(B9="Fr",Spieltage!$B$12,"")))))</f>
        <v>41530</v>
      </c>
      <c r="B9" t="str">
        <f>VLOOKUP(2,Saarlandliga,3,FALSE)</f>
        <v>Fr</v>
      </c>
      <c r="C9" s="19">
        <f>VLOOKUP(2,Saarlandliga,4,FALSE)</f>
        <v>0.8229166666666666</v>
      </c>
      <c r="D9" t="str">
        <f>VLOOKUP(2,Saarlandliga,2,FALSE)</f>
        <v>DJK Heusweiler </v>
      </c>
      <c r="E9" s="18" t="s">
        <v>35</v>
      </c>
      <c r="F9" t="str">
        <f>VLOOKUP(8,Saarlandliga,2,FALSE)</f>
        <v>TTG Dillingen </v>
      </c>
      <c r="G9" s="17">
        <f>IF(H9="Mo",Spieltage!$F$8,IF(H9="Di",Spieltage!$F$9,IF(H9="Mi",Spieltage!$F$10,IF(H9="Do",Spieltage!$F$11,IF(H9="Fr",Spieltage!$F$12,"")))))</f>
        <v>41648</v>
      </c>
      <c r="H9" t="str">
        <f>VLOOKUP(8,Saarlandliga,3,FALSE)</f>
        <v>Do</v>
      </c>
      <c r="I9" s="19">
        <f>VLOOKUP(8,Saarlandliga,4,FALSE)</f>
        <v>0.8125</v>
      </c>
    </row>
    <row r="10" spans="1:9" ht="12.75">
      <c r="A10" s="17">
        <f>IF(B10="Mo",Spieltage!$B$8,IF(B10="Di",Spieltage!$B$9,IF(B10="Mi",Spieltage!$B$10,IF(B10="Do",Spieltage!$B$11,IF(B10="Fr",Spieltage!$B$12,"")))))</f>
        <v>41529</v>
      </c>
      <c r="B10" t="str">
        <f>VLOOKUP(3,Saarlandliga,3,FALSE)</f>
        <v>Do</v>
      </c>
      <c r="C10" s="19">
        <f>VLOOKUP(3,Saarlandliga,4,FALSE)</f>
        <v>0.7916666666666666</v>
      </c>
      <c r="D10" t="str">
        <f>VLOOKUP(3,Saarlandliga,2,FALSE)</f>
        <v>TTC Gersweiler</v>
      </c>
      <c r="E10" s="18" t="s">
        <v>35</v>
      </c>
      <c r="F10" t="str">
        <f>VLOOKUP(7,Saarlandliga,2,FALSE)</f>
        <v>DJK Dudweiler </v>
      </c>
      <c r="G10" s="17">
        <f>IF(H10="Mo",Spieltage!$F$8,IF(H10="Di",Spieltage!$F$9,IF(H10="Mi",Spieltage!$F$10,IF(H10="Do",Spieltage!$F$11,IF(H10="Fr",Spieltage!$F$12,"")))))</f>
        <v>41649</v>
      </c>
      <c r="H10" t="str">
        <f>VLOOKUP(7,Saarlandliga,3,FALSE)</f>
        <v>Fr</v>
      </c>
      <c r="I10" s="19">
        <f>VLOOKUP(7,Saarlandliga,4,FALSE)</f>
        <v>0.8125</v>
      </c>
    </row>
    <row r="11" spans="1:9" ht="12.75">
      <c r="A11" s="17">
        <f>IF(B11="Mo",Spieltage!$B$8,IF(B11="Di",Spieltage!$B$9,IF(B11="Mi",Spieltage!$B$10,IF(B11="Do",Spieltage!$B$11,IF(B11="Fr",Spieltage!$B$12,"")))))</f>
        <v>41528</v>
      </c>
      <c r="B11" t="str">
        <f>VLOOKUP(4,Saarlandliga,3,FALSE)</f>
        <v>Mi</v>
      </c>
      <c r="C11" s="19">
        <f>VLOOKUP(4,Saarlandliga,4,FALSE)</f>
        <v>0.8125</v>
      </c>
      <c r="D11" t="str">
        <f>VLOOKUP(4,Saarlandliga,2,FALSE)</f>
        <v>TTC Köllerbach </v>
      </c>
      <c r="E11" s="18" t="s">
        <v>35</v>
      </c>
      <c r="F11" t="str">
        <f>VLOOKUP(6,Saarlandliga,2,FALSE)</f>
        <v>TTG Reisbach-Nalbach </v>
      </c>
      <c r="G11" s="17">
        <f>IF(H11="Mo",Spieltage!$F$8,IF(H11="Di",Spieltage!$F$9,IF(H11="Mi",Spieltage!$F$10,IF(H11="Do",Spieltage!$F$11,IF(H11="Fr",Spieltage!$F$12,"")))))</f>
        <v>41648</v>
      </c>
      <c r="H11" t="str">
        <f>VLOOKUP(6,Saarlandliga,3,FALSE)</f>
        <v>Do</v>
      </c>
      <c r="I11" s="19">
        <f>VLOOKUP(6,Saarlandliga,4,FALSE)</f>
        <v>0.8125</v>
      </c>
    </row>
    <row r="12" spans="1:9" ht="12.75">
      <c r="A12" s="17">
        <f>IF(B12="Mo",Spieltage!$B$8,IF(B12="Di",Spieltage!$B$9,IF(B12="Mi",Spieltage!$B$10,IF(B12="Do",Spieltage!$B$11,IF(B12="Fr",Spieltage!$B$12,"")))))</f>
        <v>41530</v>
      </c>
      <c r="B12" t="str">
        <f>VLOOKUP(10,Saarlandliga,3,FALSE)</f>
        <v>Fr</v>
      </c>
      <c r="C12" s="19">
        <f>VLOOKUP(10,Saarlandliga,4,FALSE)</f>
        <v>0.8125</v>
      </c>
      <c r="D12" t="str">
        <f>VLOOKUP(10,Saarlandliga,2,FALSE)</f>
        <v>SV Saar 05 Saarbrücken  </v>
      </c>
      <c r="E12" s="18" t="s">
        <v>35</v>
      </c>
      <c r="F12" t="str">
        <f>VLOOKUP(5,Saarlandliga,2,FALSE)</f>
        <v>TV Altenkessel</v>
      </c>
      <c r="G12" s="17">
        <f>IF(H12="Mo",Spieltage!$F$8,IF(H12="Di",Spieltage!$F$9,IF(H12="Mi",Spieltage!$F$10,IF(H12="Do",Spieltage!$F$11,IF(H12="Fr",Spieltage!$F$12,"")))))</f>
        <v>41647</v>
      </c>
      <c r="H12" t="str">
        <f>VLOOKUP(5,Saarlandliga,3,FALSE)</f>
        <v>Mi</v>
      </c>
      <c r="I12" s="19">
        <f>VLOOKUP(5,Saarlandliga,4,FALSE)</f>
        <v>0.8333333333333334</v>
      </c>
    </row>
    <row r="13" ht="12.75">
      <c r="E13" s="18"/>
    </row>
    <row r="14" spans="1:9" ht="12.75">
      <c r="A14" s="17">
        <f>IF(B14="Mo",Spieltage!$B$13,IF(B14="Di",Spieltage!$B$14,IF(B14="Mi",Spieltage!$B$15,IF(B14="Do",Spieltage!$B$16,IF(B14="Fr",Spieltage!$B$17,"")))))</f>
        <v>41536</v>
      </c>
      <c r="B14" t="str">
        <f>VLOOKUP(1,Saarlandliga,3,FALSE)</f>
        <v>Do</v>
      </c>
      <c r="C14" s="19">
        <f>VLOOKUP(1,Saarlandliga,4,FALSE)</f>
        <v>0.8333333333333334</v>
      </c>
      <c r="D14" t="str">
        <f>VLOOKUP(1,Saarlandliga,2,FALSE)</f>
        <v>TTC Altenwald </v>
      </c>
      <c r="E14" s="18" t="s">
        <v>35</v>
      </c>
      <c r="F14" t="str">
        <f>VLOOKUP(3,Saarlandliga,2,FALSE)</f>
        <v>TTC Gersweiler</v>
      </c>
      <c r="G14" s="17">
        <f>IF(H14="Mo",Spieltage!$F$13,IF(H14="Di",Spieltage!$F$14,IF(H14="Mi",Spieltage!$F$15,IF(H14="Do",Spieltage!$F$16,IF(H14="Fr",Spieltage!$F$17,"")))))</f>
        <v>41662</v>
      </c>
      <c r="H14" t="str">
        <f>VLOOKUP(3,Saarlandliga,3,FALSE)</f>
        <v>Do</v>
      </c>
      <c r="I14" s="19">
        <f>VLOOKUP(3,Saarlandliga,4,FALSE)</f>
        <v>0.7916666666666666</v>
      </c>
    </row>
    <row r="15" spans="1:9" ht="12.75">
      <c r="A15" s="17">
        <f>IF(B15="Mo",Spieltage!$B$13,IF(B15="Di",Spieltage!$B$14,IF(B15="Mi",Spieltage!$B$15,IF(B15="Do",Spieltage!$B$16,IF(B15="Fr",Spieltage!$B$17,"")))))</f>
        <v>41536</v>
      </c>
      <c r="B15" t="str">
        <f>VLOOKUP(6,Saarlandliga,3,FALSE)</f>
        <v>Do</v>
      </c>
      <c r="C15" s="19">
        <f>VLOOKUP(6,Saarlandliga,4,FALSE)</f>
        <v>0.8125</v>
      </c>
      <c r="D15" t="str">
        <f>VLOOKUP(6,Saarlandliga,2,FALSE)</f>
        <v>TTG Reisbach-Nalbach </v>
      </c>
      <c r="E15" s="18" t="s">
        <v>35</v>
      </c>
      <c r="F15" t="str">
        <f>VLOOKUP(10,Saarlandliga,2,FALSE)</f>
        <v>SV Saar 05 Saarbrücken  </v>
      </c>
      <c r="G15" s="17">
        <f>IF(H15="Mo",Spieltage!$F$13,IF(H15="Di",Spieltage!$F$14,IF(H15="Mi",Spieltage!$F$15,IF(H15="Do",Spieltage!$F$16,IF(H15="Fr",Spieltage!$F$17,"")))))</f>
        <v>41663</v>
      </c>
      <c r="H15" t="str">
        <f>VLOOKUP(10,Saarlandliga,3,FALSE)</f>
        <v>Fr</v>
      </c>
      <c r="I15" s="19">
        <f>VLOOKUP(10,Saarlandliga,4,FALSE)</f>
        <v>0.8125</v>
      </c>
    </row>
    <row r="16" spans="1:9" ht="12.75">
      <c r="A16" s="17">
        <f>IF(B16="Mo",Spieltage!$B$13,IF(B16="Di",Spieltage!$B$14,IF(B16="Mi",Spieltage!$B$15,IF(B16="Do",Spieltage!$B$16,IF(B16="Fr",Spieltage!$B$17,"")))))</f>
        <v>41537</v>
      </c>
      <c r="B16" t="str">
        <f>VLOOKUP(7,Saarlandliga,3,FALSE)</f>
        <v>Fr</v>
      </c>
      <c r="C16" s="19">
        <f>VLOOKUP(7,Saarlandliga,4,FALSE)</f>
        <v>0.8125</v>
      </c>
      <c r="D16" t="str">
        <f>VLOOKUP(7,Saarlandliga,2,FALSE)</f>
        <v>DJK Dudweiler </v>
      </c>
      <c r="E16" s="18" t="s">
        <v>35</v>
      </c>
      <c r="F16" t="str">
        <f>VLOOKUP(4,Saarlandliga,2,FALSE)</f>
        <v>TTC Köllerbach </v>
      </c>
      <c r="G16" s="17">
        <f>IF(H16="Mo",Spieltage!$F$13,IF(H16="Di",Spieltage!$F$14,IF(H16="Mi",Spieltage!$F$15,IF(H16="Do",Spieltage!$F$16,IF(H16="Fr",Spieltage!$F$17,"")))))</f>
        <v>41661</v>
      </c>
      <c r="H16" t="str">
        <f>VLOOKUP(4,Saarlandliga,3,FALSE)</f>
        <v>Mi</v>
      </c>
      <c r="I16" s="19">
        <f>VLOOKUP(4,Saarlandliga,4,FALSE)</f>
        <v>0.8125</v>
      </c>
    </row>
    <row r="17" spans="1:9" ht="12.75">
      <c r="A17" s="17">
        <f>IF(B17="Mo",Spieltage!$B$13,IF(B17="Di",Spieltage!$B$14,IF(B17="Mi",Spieltage!$B$15,IF(B17="Do",Spieltage!$B$16,IF(B17="Fr",Spieltage!$B$17,"")))))</f>
        <v>41536</v>
      </c>
      <c r="B17" t="str">
        <f>VLOOKUP(8,Saarlandliga,3,FALSE)</f>
        <v>Do</v>
      </c>
      <c r="C17" s="19">
        <f>VLOOKUP(8,Saarlandliga,4,FALSE)</f>
        <v>0.8125</v>
      </c>
      <c r="D17" t="str">
        <f>VLOOKUP(8,Saarlandliga,2,FALSE)</f>
        <v>TTG Dillingen </v>
      </c>
      <c r="E17" s="18" t="s">
        <v>35</v>
      </c>
      <c r="F17" t="str">
        <f>VLOOKUP(5,Saarlandliga,2,FALSE)</f>
        <v>TV Altenkessel</v>
      </c>
      <c r="G17" s="17">
        <f>IF(H17="Mo",Spieltage!$F$13,IF(H17="Di",Spieltage!$F$14,IF(H17="Mi",Spieltage!$F$15,IF(H17="Do",Spieltage!$F$16,IF(H17="Fr",Spieltage!$F$17,"")))))</f>
        <v>41661</v>
      </c>
      <c r="H17" t="str">
        <f>VLOOKUP(5,Saarlandliga,3,FALSE)</f>
        <v>Mi</v>
      </c>
      <c r="I17" s="19">
        <f>VLOOKUP(5,Saarlandliga,4,FALSE)</f>
        <v>0.8333333333333334</v>
      </c>
    </row>
    <row r="18" spans="1:9" ht="12.75">
      <c r="A18" s="17">
        <f>IF(B18="Mo",Spieltage!$B$13,IF(B18="Di",Spieltage!$B$14,IF(B18="Mi",Spieltage!$B$15,IF(B18="Do",Spieltage!$B$16,IF(B18="Fr",Spieltage!$B$17,"")))))</f>
        <v>41534</v>
      </c>
      <c r="B18" t="str">
        <f>VLOOKUP(9,Saarlandliga,3,FALSE)</f>
        <v>Di</v>
      </c>
      <c r="C18" s="19">
        <f>VLOOKUP(9,Saarlandliga,4,FALSE)</f>
        <v>0.7916666666666666</v>
      </c>
      <c r="D18" t="str">
        <f>VLOOKUP(9,Saarlandliga,2,FALSE)</f>
        <v>TTG Fremersdorf-Gerlfangen</v>
      </c>
      <c r="E18" s="18" t="s">
        <v>35</v>
      </c>
      <c r="F18" t="str">
        <f>VLOOKUP(2,Saarlandliga,2,FALSE)</f>
        <v>DJK Heusweiler </v>
      </c>
      <c r="G18" s="17">
        <f>IF(H18="Mo",Spieltage!$F$13,IF(H18="Di",Spieltage!$F$14,IF(H18="Mi",Spieltage!$F$15,IF(H18="Do",Spieltage!$F$16,IF(H18="Fr",Spieltage!$F$17,"")))))</f>
        <v>41663</v>
      </c>
      <c r="H18" t="str">
        <f>VLOOKUP(2,Saarlandliga,3,FALSE)</f>
        <v>Fr</v>
      </c>
      <c r="I18" s="19">
        <f>VLOOKUP(2,Saarlandliga,4,FALSE)</f>
        <v>0.8229166666666666</v>
      </c>
    </row>
    <row r="20" spans="1:9" ht="12.75">
      <c r="A20" s="17">
        <f>IF(B20="Mo",Spieltage!$B$18,IF(B20="Di",Spieltage!$B$19,IF(B20="Mi",Spieltage!$B$20,IF(B20="Do",Spieltage!$B$21,IF(B20="Fr",Spieltage!$B$22,"")))))</f>
        <v>41544</v>
      </c>
      <c r="B20" t="str">
        <f>VLOOKUP(2,Saarlandliga,3,FALSE)</f>
        <v>Fr</v>
      </c>
      <c r="C20" s="19">
        <f>VLOOKUP(2,Saarlandliga,4,FALSE)</f>
        <v>0.8229166666666666</v>
      </c>
      <c r="D20" t="str">
        <f>VLOOKUP(2,Saarlandliga,2,FALSE)</f>
        <v>DJK Heusweiler </v>
      </c>
      <c r="E20" s="18" t="s">
        <v>35</v>
      </c>
      <c r="F20" t="str">
        <f>VLOOKUP(1,Saarlandliga,2,FALSE)</f>
        <v>TTC Altenwald </v>
      </c>
      <c r="G20" s="17">
        <f>IF(H20="Mo",Spieltage!$F$18,IF(H20="Di",Spieltage!$F$19,IF(H20="Mi",Spieltage!$F$20,IF(H20="Do",Spieltage!$F$21,IF(H20="Fr",Spieltage!$F$22,"")))))</f>
        <v>41669</v>
      </c>
      <c r="H20" t="str">
        <f>VLOOKUP(1,Saarlandliga,3,FALSE)</f>
        <v>Do</v>
      </c>
      <c r="I20" s="19">
        <f>VLOOKUP(1,Saarlandliga,4,FALSE)</f>
        <v>0.8333333333333334</v>
      </c>
    </row>
    <row r="21" spans="1:9" ht="12.75">
      <c r="A21" s="17">
        <f>IF(B21="Mo",Spieltage!$B$18,IF(B21="Di",Spieltage!$B$19,IF(B21="Mi",Spieltage!$B$20,IF(B21="Do",Spieltage!$B$21,IF(B21="Fr",Spieltage!$B$22,"")))))</f>
        <v>41543</v>
      </c>
      <c r="B21" t="str">
        <f>VLOOKUP(3,Saarlandliga,3,FALSE)</f>
        <v>Do</v>
      </c>
      <c r="C21" s="19">
        <f>VLOOKUP(3,Saarlandliga,4,FALSE)</f>
        <v>0.7916666666666666</v>
      </c>
      <c r="D21" t="str">
        <f>VLOOKUP(3,Saarlandliga,2,FALSE)</f>
        <v>TTC Gersweiler</v>
      </c>
      <c r="E21" s="18" t="s">
        <v>35</v>
      </c>
      <c r="F21" t="str">
        <f>VLOOKUP(9,Saarlandliga,2,FALSE)</f>
        <v>TTG Fremersdorf-Gerlfangen</v>
      </c>
      <c r="G21" s="17">
        <f>IF(H21="Mo",Spieltage!$F$18,IF(H21="Di",Spieltage!$F$19,IF(H21="Mi",Spieltage!$F$20,IF(H21="Do",Spieltage!$F$21,IF(H21="Fr",Spieltage!$F$22,"")))))</f>
        <v>41667</v>
      </c>
      <c r="H21" t="str">
        <f>VLOOKUP(9,Saarlandliga,3,FALSE)</f>
        <v>Di</v>
      </c>
      <c r="I21" s="19">
        <f>VLOOKUP(9,Saarlandliga,4,FALSE)</f>
        <v>0.7916666666666666</v>
      </c>
    </row>
    <row r="22" spans="1:9" ht="12.75">
      <c r="A22" s="17">
        <f>IF(B22="Mo",Spieltage!$B$18,IF(B22="Di",Spieltage!$B$19,IF(B22="Mi",Spieltage!$B$20,IF(B22="Do",Spieltage!$B$21,IF(B22="Fr",Spieltage!$B$22,"")))))</f>
        <v>41542</v>
      </c>
      <c r="B22" t="str">
        <f>VLOOKUP(4,Saarlandliga,3,FALSE)</f>
        <v>Mi</v>
      </c>
      <c r="C22" s="19">
        <f>VLOOKUP(4,Saarlandliga,4,FALSE)</f>
        <v>0.8125</v>
      </c>
      <c r="D22" t="str">
        <f>VLOOKUP(4,Saarlandliga,2,FALSE)</f>
        <v>TTC Köllerbach </v>
      </c>
      <c r="E22" s="18" t="s">
        <v>35</v>
      </c>
      <c r="F22" t="str">
        <f>VLOOKUP(8,Saarlandliga,2,FALSE)</f>
        <v>TTG Dillingen </v>
      </c>
      <c r="G22" s="17">
        <f>IF(H22="Mo",Spieltage!$F$18,IF(H22="Di",Spieltage!$F$19,IF(H22="Mi",Spieltage!$F$20,IF(H22="Do",Spieltage!$F$21,IF(H22="Fr",Spieltage!$F$22,"")))))</f>
        <v>41669</v>
      </c>
      <c r="H22" t="str">
        <f>VLOOKUP(8,Saarlandliga,3,FALSE)</f>
        <v>Do</v>
      </c>
      <c r="I22" s="19">
        <f>VLOOKUP(8,Saarlandliga,4,FALSE)</f>
        <v>0.8125</v>
      </c>
    </row>
    <row r="23" spans="1:9" ht="12.75">
      <c r="A23" s="17">
        <f>IF(B23="Mo",Spieltage!$B$18,IF(B23="Di",Spieltage!$B$19,IF(B23="Mi",Spieltage!$B$20,IF(B23="Do",Spieltage!$B$21,IF(B23="Fr",Spieltage!$B$22,"")))))</f>
        <v>41542</v>
      </c>
      <c r="B23" t="str">
        <f>VLOOKUP(5,Saarlandliga,3,FALSE)</f>
        <v>Mi</v>
      </c>
      <c r="C23" s="19">
        <f>VLOOKUP(5,Saarlandliga,4,FALSE)</f>
        <v>0.8333333333333334</v>
      </c>
      <c r="D23" t="str">
        <f>VLOOKUP(5,Saarlandliga,2,FALSE)</f>
        <v>TV Altenkessel</v>
      </c>
      <c r="E23" s="18" t="s">
        <v>35</v>
      </c>
      <c r="F23" t="str">
        <f>VLOOKUP(6,Saarlandliga,2,FALSE)</f>
        <v>TTG Reisbach-Nalbach </v>
      </c>
      <c r="G23" s="17">
        <f>IF(H23="Mo",Spieltage!$F$18,IF(H23="Di",Spieltage!$F$19,IF(H23="Mi",Spieltage!$F$20,IF(H23="Do",Spieltage!$F$21,IF(H23="Fr",Spieltage!$F$22,"")))))</f>
        <v>41669</v>
      </c>
      <c r="H23" t="str">
        <f>VLOOKUP(6,Saarlandliga,3,FALSE)</f>
        <v>Do</v>
      </c>
      <c r="I23" s="19">
        <f>VLOOKUP(6,Saarlandliga,4,FALSE)</f>
        <v>0.8125</v>
      </c>
    </row>
    <row r="24" spans="1:9" ht="12.75">
      <c r="A24" s="17">
        <f>IF(B24="Mo",Spieltage!$B$18,IF(B24="Di",Spieltage!$B$19,IF(B24="Mi",Spieltage!$B$20,IF(B24="Do",Spieltage!$B$21,IF(B24="Fr",Spieltage!$B$22,"")))))</f>
        <v>41544</v>
      </c>
      <c r="B24" t="str">
        <f>VLOOKUP(10,Saarlandliga,3,FALSE)</f>
        <v>Fr</v>
      </c>
      <c r="C24" s="19">
        <f>VLOOKUP(10,Saarlandliga,4,FALSE)</f>
        <v>0.8125</v>
      </c>
      <c r="D24" t="str">
        <f>VLOOKUP(10,Saarlandliga,2,FALSE)</f>
        <v>SV Saar 05 Saarbrücken  </v>
      </c>
      <c r="E24" s="18" t="s">
        <v>35</v>
      </c>
      <c r="F24" t="str">
        <f>VLOOKUP(7,Saarlandliga,2,FALSE)</f>
        <v>DJK Dudweiler </v>
      </c>
      <c r="G24" s="17">
        <f>IF(H24="Mo",Spieltage!$F$18,IF(H24="Di",Spieltage!$F$19,IF(H24="Mi",Spieltage!$F$20,IF(H24="Do",Spieltage!$F$21,IF(H24="Fr",Spieltage!$F$22,"")))))</f>
        <v>41670</v>
      </c>
      <c r="H24" t="str">
        <f>VLOOKUP(7,Saarlandliga,3,FALSE)</f>
        <v>Fr</v>
      </c>
      <c r="I24" s="19">
        <f>VLOOKUP(7,Saarlandliga,4,FALSE)</f>
        <v>0.8125</v>
      </c>
    </row>
    <row r="26" spans="1:9" ht="12.75">
      <c r="A26" s="17">
        <f>IF(B26="Mo",Spieltage!$B$23,IF(B26="Di",Spieltage!$B$24,IF(B26="Mi",Spieltage!$B$25,IF(B26="Do",Spieltage!$B$26,IF(B26="Fr",Spieltage!$B$27,"")))))</f>
        <v>41557</v>
      </c>
      <c r="B26" t="str">
        <f>VLOOKUP(1,Saarlandliga,3,FALSE)</f>
        <v>Do</v>
      </c>
      <c r="C26" s="19">
        <f>VLOOKUP(1,Saarlandliga,4,FALSE)</f>
        <v>0.8333333333333334</v>
      </c>
      <c r="D26" t="str">
        <f>VLOOKUP(1,Saarlandliga,2,FALSE)</f>
        <v>TTC Altenwald </v>
      </c>
      <c r="E26" s="18" t="s">
        <v>35</v>
      </c>
      <c r="F26" t="str">
        <f>VLOOKUP(6,Saarlandliga,2,FALSE)</f>
        <v>TTG Reisbach-Nalbach </v>
      </c>
      <c r="G26" s="17">
        <f>IF(H26="Mo",Spieltage!$F$23,IF(H26="Di",Spieltage!$F$24,IF(H26="Mi",Spieltage!$F$25,IF(H26="Do",Spieltage!$F$26,IF(H26="Fr",Spieltage!$F$27,"")))))</f>
        <v>41676</v>
      </c>
      <c r="H26" t="str">
        <f>VLOOKUP(6,Saarlandliga,3,FALSE)</f>
        <v>Do</v>
      </c>
      <c r="I26" s="19">
        <f>VLOOKUP(6,Saarlandliga,4,FALSE)</f>
        <v>0.8125</v>
      </c>
    </row>
    <row r="27" spans="1:9" ht="12.75">
      <c r="A27" s="17">
        <f>IF(B27="Mo",Spieltage!$B$23,IF(B27="Di",Spieltage!$B$24,IF(B27="Mi",Spieltage!$B$25,IF(B27="Do",Spieltage!$B$26,IF(B27="Fr",Spieltage!$B$27,"")))))</f>
        <v>41558</v>
      </c>
      <c r="B27" t="str">
        <f>VLOOKUP(2,Saarlandliga,3,FALSE)</f>
        <v>Fr</v>
      </c>
      <c r="C27" s="19">
        <f>VLOOKUP(2,Saarlandliga,4,FALSE)</f>
        <v>0.8229166666666666</v>
      </c>
      <c r="D27" t="str">
        <f>VLOOKUP(2,Saarlandliga,2,FALSE)</f>
        <v>DJK Heusweiler </v>
      </c>
      <c r="E27" s="18" t="s">
        <v>35</v>
      </c>
      <c r="F27" t="str">
        <f>VLOOKUP(3,Saarlandliga,2,FALSE)</f>
        <v>TTC Gersweiler</v>
      </c>
      <c r="G27" s="17">
        <f>IF(H27="Mo",Spieltage!$F$23,IF(H27="Di",Spieltage!$F$24,IF(H27="Mi",Spieltage!$F$25,IF(H27="Do",Spieltage!$F$26,IF(H27="Fr",Spieltage!$F$27,"")))))</f>
        <v>41676</v>
      </c>
      <c r="H27" t="str">
        <f>VLOOKUP(3,Saarlandliga,3,FALSE)</f>
        <v>Do</v>
      </c>
      <c r="I27" s="19">
        <f>VLOOKUP(3,Saarlandliga,4,FALSE)</f>
        <v>0.7916666666666666</v>
      </c>
    </row>
    <row r="28" spans="1:9" ht="12.75">
      <c r="A28" s="17">
        <f>IF(B28="Mo",Spieltage!$B$23,IF(B28="Di",Spieltage!$B$24,IF(B28="Mi",Spieltage!$B$25,IF(B28="Do",Spieltage!$B$26,IF(B28="Fr",Spieltage!$B$27,"")))))</f>
        <v>41558</v>
      </c>
      <c r="B28" t="str">
        <f>VLOOKUP(7,Saarlandliga,3,FALSE)</f>
        <v>Fr</v>
      </c>
      <c r="C28" s="19">
        <f>VLOOKUP(7,Saarlandliga,4,FALSE)</f>
        <v>0.8125</v>
      </c>
      <c r="D28" t="str">
        <f>VLOOKUP(7,Saarlandliga,2,FALSE)</f>
        <v>DJK Dudweiler </v>
      </c>
      <c r="E28" s="18" t="s">
        <v>35</v>
      </c>
      <c r="F28" t="str">
        <f>VLOOKUP(5,Saarlandliga,2,FALSE)</f>
        <v>TV Altenkessel</v>
      </c>
      <c r="G28" s="17">
        <f>IF(H28="Mo",Spieltage!$F$23,IF(H28="Di",Spieltage!$F$24,IF(H28="Mi",Spieltage!$F$25,IF(H28="Do",Spieltage!$F$26,IF(H28="Fr",Spieltage!$F$27,"")))))</f>
        <v>41675</v>
      </c>
      <c r="H28" t="str">
        <f>VLOOKUP(5,Saarlandliga,3,FALSE)</f>
        <v>Mi</v>
      </c>
      <c r="I28" s="19">
        <f>VLOOKUP(5,Saarlandliga,4,FALSE)</f>
        <v>0.8333333333333334</v>
      </c>
    </row>
    <row r="29" spans="1:9" ht="12.75">
      <c r="A29" s="17">
        <f>IF(B29="Mo",Spieltage!$B$23,IF(B29="Di",Spieltage!$B$24,IF(B29="Mi",Spieltage!$B$25,IF(B29="Do",Spieltage!$B$26,IF(B29="Fr",Spieltage!$B$27,"")))))</f>
        <v>41557</v>
      </c>
      <c r="B29" t="str">
        <f>VLOOKUP(8,Saarlandliga,3,FALSE)</f>
        <v>Do</v>
      </c>
      <c r="C29" s="19">
        <f>VLOOKUP(8,Saarlandliga,4,FALSE)</f>
        <v>0.8125</v>
      </c>
      <c r="D29" t="str">
        <f>VLOOKUP(8,Saarlandliga,2,FALSE)</f>
        <v>TTG Dillingen </v>
      </c>
      <c r="E29" s="18" t="s">
        <v>35</v>
      </c>
      <c r="F29" t="str">
        <f>VLOOKUP(10,Saarlandliga,2,FALSE)</f>
        <v>SV Saar 05 Saarbrücken  </v>
      </c>
      <c r="G29" s="17">
        <f>IF(H29="Mo",Spieltage!$F$23,IF(H29="Di",Spieltage!$F$24,IF(H29="Mi",Spieltage!$F$25,IF(H29="Do",Spieltage!$F$26,IF(H29="Fr",Spieltage!$F$27,"")))))</f>
        <v>41677</v>
      </c>
      <c r="H29" t="str">
        <f>VLOOKUP(10,Saarlandliga,3,FALSE)</f>
        <v>Fr</v>
      </c>
      <c r="I29" s="19">
        <f>VLOOKUP(10,Saarlandliga,4,FALSE)</f>
        <v>0.8125</v>
      </c>
    </row>
    <row r="30" spans="1:9" ht="12.75">
      <c r="A30" s="17">
        <f>IF(B30="Mo",Spieltage!$B$23,IF(B30="Di",Spieltage!$B$24,IF(B30="Mi",Spieltage!$B$25,IF(B30="Do",Spieltage!$B$26,IF(B30="Fr",Spieltage!$B$27,"")))))</f>
        <v>41555</v>
      </c>
      <c r="B30" t="str">
        <f>VLOOKUP(9,Saarlandliga,3,FALSE)</f>
        <v>Di</v>
      </c>
      <c r="C30" s="19">
        <f>VLOOKUP(9,Saarlandliga,4,FALSE)</f>
        <v>0.7916666666666666</v>
      </c>
      <c r="D30" t="str">
        <f>VLOOKUP(9,Saarlandliga,2,FALSE)</f>
        <v>TTG Fremersdorf-Gerlfangen</v>
      </c>
      <c r="E30" s="18" t="s">
        <v>35</v>
      </c>
      <c r="F30" t="str">
        <f>VLOOKUP(4,Saarlandliga,2,FALSE)</f>
        <v>TTC Köllerbach </v>
      </c>
      <c r="G30" s="17">
        <f>IF(H30="Mo",Spieltage!$F$23,IF(H30="Di",Spieltage!$F$24,IF(H30="Mi",Spieltage!$F$25,IF(H30="Do",Spieltage!$F$26,IF(H30="Fr",Spieltage!$F$27,"")))))</f>
        <v>41675</v>
      </c>
      <c r="H30" t="str">
        <f>VLOOKUP(4,Saarlandliga,3,FALSE)</f>
        <v>Mi</v>
      </c>
      <c r="I30" s="19">
        <f>VLOOKUP(4,Saarlandliga,4,FALSE)</f>
        <v>0.8125</v>
      </c>
    </row>
    <row r="32" spans="1:9" ht="12.75">
      <c r="A32" s="17">
        <f>IF(B32="Mo",Spieltage!$B$28,IF(B32="Di",Spieltage!$B$29,IF(B32="Mi",Spieltage!$B$30,IF(B32="Do",Spieltage!$B$31,IF(B32="Fr",Spieltage!$B$32,"")))))</f>
        <v>41564</v>
      </c>
      <c r="B32" t="str">
        <f>VLOOKUP(3,Saarlandliga,3,FALSE)</f>
        <v>Do</v>
      </c>
      <c r="C32" s="19">
        <f>VLOOKUP(3,Saarlandliga,4,FALSE)</f>
        <v>0.7916666666666666</v>
      </c>
      <c r="D32" t="str">
        <f>VLOOKUP(3,Saarlandliga,2,FALSE)</f>
        <v>TTC Gersweiler</v>
      </c>
      <c r="E32" s="18" t="s">
        <v>35</v>
      </c>
      <c r="F32" t="str">
        <f>VLOOKUP(8,Saarlandliga,2,FALSE)</f>
        <v>TTG Dillingen </v>
      </c>
      <c r="G32" s="17">
        <f>IF(H32="Mo",Spieltage!$F$28,IF(H32="Di",Spieltage!$F$29,IF(H32="Mi",Spieltage!$F$30,IF(H32="Do",Spieltage!$F$31,IF(H32="Fr",Spieltage!$F$32,"")))))</f>
        <v>41683</v>
      </c>
      <c r="H32" t="str">
        <f>VLOOKUP(8,Saarlandliga,3,FALSE)</f>
        <v>Do</v>
      </c>
      <c r="I32" s="19">
        <f>VLOOKUP(8,Saarlandliga,4,FALSE)</f>
        <v>0.8125</v>
      </c>
    </row>
    <row r="33" spans="1:9" ht="12.75">
      <c r="A33" s="17">
        <f>IF(B33="Mo",Spieltage!$B$28,IF(B33="Di",Spieltage!$B$29,IF(B33="Mi",Spieltage!$B$30,IF(B33="Do",Spieltage!$B$31,IF(B33="Fr",Spieltage!$B$32,"")))))</f>
        <v>41563</v>
      </c>
      <c r="B33" t="str">
        <f>VLOOKUP(4,Saarlandliga,3,FALSE)</f>
        <v>Mi</v>
      </c>
      <c r="C33" s="19">
        <f>VLOOKUP(4,Saarlandliga,4,FALSE)</f>
        <v>0.8125</v>
      </c>
      <c r="D33" t="str">
        <f>VLOOKUP(4,Saarlandliga,2,FALSE)</f>
        <v>TTC Köllerbach </v>
      </c>
      <c r="E33" s="18" t="s">
        <v>35</v>
      </c>
      <c r="F33" t="str">
        <f>VLOOKUP(2,Saarlandliga,2,FALSE)</f>
        <v>DJK Heusweiler </v>
      </c>
      <c r="G33" s="17">
        <f>IF(H33="Mo",Spieltage!$F$28,IF(H33="Di",Spieltage!$F$29,IF(H33="Mi",Spieltage!$F$30,IF(H33="Do",Spieltage!$F$31,IF(H33="Fr",Spieltage!$F$32,"")))))</f>
        <v>41684</v>
      </c>
      <c r="H33" t="str">
        <f>VLOOKUP(2,Saarlandliga,3,FALSE)</f>
        <v>Fr</v>
      </c>
      <c r="I33" s="19">
        <f>VLOOKUP(2,Saarlandliga,4,FALSE)</f>
        <v>0.8229166666666666</v>
      </c>
    </row>
    <row r="34" spans="1:9" ht="12.75">
      <c r="A34" s="17">
        <f>IF(B34="Mo",Spieltage!$B$28,IF(B34="Di",Spieltage!$B$29,IF(B34="Mi",Spieltage!$B$30,IF(B34="Do",Spieltage!$B$31,IF(B34="Fr",Spieltage!$B$32,"")))))</f>
        <v>41563</v>
      </c>
      <c r="B34" t="str">
        <f>VLOOKUP(5,Saarlandliga,3,FALSE)</f>
        <v>Mi</v>
      </c>
      <c r="C34" s="19">
        <f>VLOOKUP(5,Saarlandliga,4,FALSE)</f>
        <v>0.8333333333333334</v>
      </c>
      <c r="D34" t="str">
        <f>VLOOKUP(5,Saarlandliga,2,FALSE)</f>
        <v>TV Altenkessel</v>
      </c>
      <c r="E34" s="18" t="s">
        <v>35</v>
      </c>
      <c r="F34" t="str">
        <f>VLOOKUP(9,Saarlandliga,2,FALSE)</f>
        <v>TTG Fremersdorf-Gerlfangen</v>
      </c>
      <c r="G34" s="17">
        <f>IF(H34="Mo",Spieltage!$F$28,IF(H34="Di",Spieltage!$F$29,IF(H34="Mi",Spieltage!$F$30,IF(H34="Do",Spieltage!$F$31,IF(H34="Fr",Spieltage!$F$32,"")))))</f>
        <v>41681</v>
      </c>
      <c r="H34" t="str">
        <f>VLOOKUP(9,Saarlandliga,3,FALSE)</f>
        <v>Di</v>
      </c>
      <c r="I34" s="19">
        <f>VLOOKUP(9,Saarlandliga,4,FALSE)</f>
        <v>0.7916666666666666</v>
      </c>
    </row>
    <row r="35" spans="1:9" ht="12.75">
      <c r="A35" s="17">
        <f>IF(B35="Mo",Spieltage!$B$28,IF(B35="Di",Spieltage!$B$29,IF(B35="Mi",Spieltage!$B$30,IF(B35="Do",Spieltage!$B$31,IF(B35="Fr",Spieltage!$B$32,"")))))</f>
        <v>41564</v>
      </c>
      <c r="B35" t="str">
        <f>VLOOKUP(6,Saarlandliga,3,FALSE)</f>
        <v>Do</v>
      </c>
      <c r="C35" s="19">
        <f>VLOOKUP(6,Saarlandliga,4,FALSE)</f>
        <v>0.8125</v>
      </c>
      <c r="D35" t="str">
        <f>VLOOKUP(6,Saarlandliga,2,FALSE)</f>
        <v>TTG Reisbach-Nalbach </v>
      </c>
      <c r="E35" s="18" t="s">
        <v>35</v>
      </c>
      <c r="F35" t="str">
        <f>VLOOKUP(7,Saarlandliga,2,FALSE)</f>
        <v>DJK Dudweiler </v>
      </c>
      <c r="G35" s="17">
        <f>IF(H35="Mo",Spieltage!$F$28,IF(H35="Di",Spieltage!$F$29,IF(H35="Mi",Spieltage!$F$30,IF(H35="Do",Spieltage!$F$31,IF(H35="Fr",Spieltage!$F$32,"")))))</f>
        <v>41684</v>
      </c>
      <c r="H35" t="str">
        <f>VLOOKUP(7,Saarlandliga,3,FALSE)</f>
        <v>Fr</v>
      </c>
      <c r="I35" s="19">
        <f>VLOOKUP(7,Saarlandliga,4,FALSE)</f>
        <v>0.8125</v>
      </c>
    </row>
    <row r="36" spans="1:9" ht="12.75">
      <c r="A36" s="17">
        <f>IF(B36="Mo",Spieltage!$B$28,IF(B36="Di",Spieltage!$B$29,IF(B36="Mi",Spieltage!$B$30,IF(B36="Do",Spieltage!$B$31,IF(B36="Fr",Spieltage!$B$32,"")))))</f>
        <v>41565</v>
      </c>
      <c r="B36" t="str">
        <f>VLOOKUP(10,Saarlandliga,3,FALSE)</f>
        <v>Fr</v>
      </c>
      <c r="C36" s="19">
        <f>VLOOKUP(10,Saarlandliga,4,FALSE)</f>
        <v>0.8125</v>
      </c>
      <c r="D36" t="str">
        <f>VLOOKUP(10,Saarlandliga,2,FALSE)</f>
        <v>SV Saar 05 Saarbrücken  </v>
      </c>
      <c r="E36" s="18" t="s">
        <v>35</v>
      </c>
      <c r="F36" t="str">
        <f>VLOOKUP(1,Saarlandliga,2,FALSE)</f>
        <v>TTC Altenwald </v>
      </c>
      <c r="G36" s="17">
        <f>IF(H36="Mo",Spieltage!$F$28,IF(H36="Di",Spieltage!$F$29,IF(H36="Mi",Spieltage!$F$30,IF(H36="Do",Spieltage!$F$31,IF(H36="Fr",Spieltage!$F$32,"")))))</f>
        <v>41683</v>
      </c>
      <c r="H36" t="str">
        <f>VLOOKUP(1,Saarlandliga,3,FALSE)</f>
        <v>Do</v>
      </c>
      <c r="I36" s="19">
        <f>VLOOKUP(1,Saarlandliga,4,FALSE)</f>
        <v>0.8333333333333334</v>
      </c>
    </row>
    <row r="38" spans="1:9" ht="12.75">
      <c r="A38" s="17">
        <f>IF(B38="Mo",Spieltage!$B$33,IF(B38="Di",Spieltage!$B$34,IF(B38="Mi",Spieltage!$B$35,IF(B38="Do",Spieltage!$B$36,IF(B38="Fr",Spieltage!$B$37,"")))))</f>
        <v>41585</v>
      </c>
      <c r="B38" t="str">
        <f>VLOOKUP(1,Saarlandliga,3,FALSE)</f>
        <v>Do</v>
      </c>
      <c r="C38" s="19">
        <f>VLOOKUP(1,Saarlandliga,4,FALSE)</f>
        <v>0.8333333333333334</v>
      </c>
      <c r="D38" t="str">
        <f>VLOOKUP(1,Saarlandliga,2,FALSE)</f>
        <v>TTC Altenwald </v>
      </c>
      <c r="E38" s="18" t="s">
        <v>35</v>
      </c>
      <c r="F38" t="str">
        <f>VLOOKUP(5,Saarlandliga,2,FALSE)</f>
        <v>TV Altenkessel</v>
      </c>
      <c r="G38" s="17">
        <f>IF(H38="Mo",Spieltage!$F$33,IF(H38="Di",Spieltage!$F$34,IF(H38="Mi",Spieltage!$F$35,IF(H38="Do",Spieltage!$F$36,IF(H38="Fr",Spieltage!$F$37,"")))))</f>
        <v>41689</v>
      </c>
      <c r="H38" t="str">
        <f>VLOOKUP(5,Saarlandliga,3,FALSE)</f>
        <v>Mi</v>
      </c>
      <c r="I38" s="19">
        <f>VLOOKUP(5,Saarlandliga,4,FALSE)</f>
        <v>0.8333333333333334</v>
      </c>
    </row>
    <row r="39" spans="1:9" ht="12.75">
      <c r="A39" s="17">
        <f>IF(B39="Mo",Spieltage!$B$33,IF(B39="Di",Spieltage!$B$34,IF(B39="Mi",Spieltage!$B$35,IF(B39="Do",Spieltage!$B$36,IF(B39="Fr",Spieltage!$B$37,"")))))</f>
        <v>41586</v>
      </c>
      <c r="B39" t="str">
        <f>VLOOKUP(2,Saarlandliga,3,FALSE)</f>
        <v>Fr</v>
      </c>
      <c r="C39" s="19">
        <f>VLOOKUP(2,Saarlandliga,4,FALSE)</f>
        <v>0.8229166666666666</v>
      </c>
      <c r="D39" t="str">
        <f>VLOOKUP(2,Saarlandliga,2,FALSE)</f>
        <v>DJK Heusweiler </v>
      </c>
      <c r="E39" s="18" t="s">
        <v>35</v>
      </c>
      <c r="F39" t="str">
        <f>VLOOKUP(10,Saarlandliga,2,FALSE)</f>
        <v>SV Saar 05 Saarbrücken  </v>
      </c>
      <c r="G39" s="17">
        <f>IF(H39="Mo",Spieltage!$F$33,IF(H39="Di",Spieltage!$F$34,IF(H39="Mi",Spieltage!$F$35,IF(H39="Do",Spieltage!$F$36,IF(H39="Fr",Spieltage!$F$37,"")))))</f>
        <v>41691</v>
      </c>
      <c r="H39" t="str">
        <f>VLOOKUP(10,Saarlandliga,3,FALSE)</f>
        <v>Fr</v>
      </c>
      <c r="I39" s="19">
        <f>VLOOKUP(10,Saarlandliga,4,FALSE)</f>
        <v>0.8125</v>
      </c>
    </row>
    <row r="40" spans="1:9" ht="12.75">
      <c r="A40" s="17">
        <f>IF(B40="Mo",Spieltage!$B$33,IF(B40="Di",Spieltage!$B$34,IF(B40="Mi",Spieltage!$B$35,IF(B40="Do",Spieltage!$B$36,IF(B40="Fr",Spieltage!$B$37,"")))))</f>
        <v>41585</v>
      </c>
      <c r="B40" t="str">
        <f>VLOOKUP(3,Saarlandliga,3,FALSE)</f>
        <v>Do</v>
      </c>
      <c r="C40" s="19">
        <f>VLOOKUP(3,Saarlandliga,4,FALSE)</f>
        <v>0.7916666666666666</v>
      </c>
      <c r="D40" t="str">
        <f>VLOOKUP(3,Saarlandliga,2,FALSE)</f>
        <v>TTC Gersweiler</v>
      </c>
      <c r="E40" s="18" t="s">
        <v>35</v>
      </c>
      <c r="F40" t="str">
        <f>VLOOKUP(4,Saarlandliga,2,FALSE)</f>
        <v>TTC Köllerbach </v>
      </c>
      <c r="G40" s="17">
        <f>IF(H40="Mo",Spieltage!$F$33,IF(H40="Di",Spieltage!$F$34,IF(H40="Mi",Spieltage!$F$35,IF(H40="Do",Spieltage!$F$36,IF(H40="Fr",Spieltage!$F$37,"")))))</f>
        <v>41689</v>
      </c>
      <c r="H40" t="str">
        <f>VLOOKUP(4,Saarlandliga,3,FALSE)</f>
        <v>Mi</v>
      </c>
      <c r="I40" s="19">
        <f>VLOOKUP(4,Saarlandliga,4,FALSE)</f>
        <v>0.8125</v>
      </c>
    </row>
    <row r="41" spans="1:9" ht="12.75">
      <c r="A41" s="17">
        <f>IF(B41="Mo",Spieltage!$B$33,IF(B41="Di",Spieltage!$B$34,IF(B41="Mi",Spieltage!$B$35,IF(B41="Do",Spieltage!$B$36,IF(B41="Fr",Spieltage!$B$37,"")))))</f>
        <v>41585</v>
      </c>
      <c r="B41" t="str">
        <f>VLOOKUP(8,Saarlandliga,3,FALSE)</f>
        <v>Do</v>
      </c>
      <c r="C41" s="19">
        <f>VLOOKUP(8,Saarlandliga,4,FALSE)</f>
        <v>0.8125</v>
      </c>
      <c r="D41" t="str">
        <f>VLOOKUP(8,Saarlandliga,2,FALSE)</f>
        <v>TTG Dillingen </v>
      </c>
      <c r="E41" s="18" t="s">
        <v>35</v>
      </c>
      <c r="F41" t="str">
        <f>VLOOKUP(7,Saarlandliga,2,FALSE)</f>
        <v>DJK Dudweiler </v>
      </c>
      <c r="G41" s="17">
        <f>IF(H41="Mo",Spieltage!$F$33,IF(H41="Di",Spieltage!$F$34,IF(H41="Mi",Spieltage!$F$35,IF(H41="Do",Spieltage!$F$36,IF(H41="Fr",Spieltage!$F$37,"")))))</f>
        <v>41691</v>
      </c>
      <c r="H41" t="str">
        <f>VLOOKUP(7,Saarlandliga,3,FALSE)</f>
        <v>Fr</v>
      </c>
      <c r="I41" s="19">
        <f>VLOOKUP(7,Saarlandliga,4,FALSE)</f>
        <v>0.8125</v>
      </c>
    </row>
    <row r="42" spans="1:9" ht="12.75">
      <c r="A42" s="17">
        <f>IF(B42="Mo",Spieltage!$B$33,IF(B42="Di",Spieltage!$B$34,IF(B42="Mi",Spieltage!$B$35,IF(B42="Do",Spieltage!$B$36,IF(B42="Fr",Spieltage!$B$37,"")))))</f>
        <v>41583</v>
      </c>
      <c r="B42" t="str">
        <f>VLOOKUP(9,Saarlandliga,3,FALSE)</f>
        <v>Di</v>
      </c>
      <c r="C42" s="19">
        <f>VLOOKUP(9,Saarlandliga,4,FALSE)</f>
        <v>0.7916666666666666</v>
      </c>
      <c r="D42" t="str">
        <f>VLOOKUP(9,Saarlandliga,2,FALSE)</f>
        <v>TTG Fremersdorf-Gerlfangen</v>
      </c>
      <c r="E42" s="18" t="s">
        <v>35</v>
      </c>
      <c r="F42" t="str">
        <f>VLOOKUP(6,Saarlandliga,2,FALSE)</f>
        <v>TTG Reisbach-Nalbach </v>
      </c>
      <c r="G42" s="17">
        <f>IF(H42="Mo",Spieltage!$F$33,IF(H42="Di",Spieltage!$F$34,IF(H42="Mi",Spieltage!$F$35,IF(H42="Do",Spieltage!$F$36,IF(H42="Fr",Spieltage!$F$37,"")))))</f>
        <v>41690</v>
      </c>
      <c r="H42" t="str">
        <f>VLOOKUP(6,Saarlandliga,3,FALSE)</f>
        <v>Do</v>
      </c>
      <c r="I42" s="19">
        <f>VLOOKUP(6,Saarlandliga,4,FALSE)</f>
        <v>0.8125</v>
      </c>
    </row>
    <row r="44" spans="1:9" ht="12.75">
      <c r="A44" s="17">
        <f>IF(B44="Mo",Spieltage!$B$38,IF(B44="Di",Spieltage!$B$39,IF(B44="Mi",Spieltage!$B$40,IF(B44="Do",Spieltage!$B$41,IF(B44="Fr",Spieltage!$B$42,"")))))</f>
        <v>41591</v>
      </c>
      <c r="B44" t="str">
        <f>VLOOKUP(4,Saarlandliga,3,FALSE)</f>
        <v>Mi</v>
      </c>
      <c r="C44" s="19">
        <f>VLOOKUP(4,Saarlandliga,4,FALSE)</f>
        <v>0.8125</v>
      </c>
      <c r="D44" t="str">
        <f>VLOOKUP(4,Saarlandliga,2,FALSE)</f>
        <v>TTC Köllerbach </v>
      </c>
      <c r="E44" s="18" t="s">
        <v>35</v>
      </c>
      <c r="F44" t="str">
        <f>VLOOKUP(1,Saarlandliga,2,FALSE)</f>
        <v>TTC Altenwald </v>
      </c>
      <c r="G44" s="17">
        <f>IF(H44="Mo",Spieltage!$F$38,IF(H44="Di",Spieltage!$F$39,IF(H44="Mi",Spieltage!$F$40,IF(H44="Do",Spieltage!$F$41,IF(H44="Fr",Spieltage!$F$42,"")))))</f>
        <v>41711</v>
      </c>
      <c r="H44" t="str">
        <f>VLOOKUP(1,Saarlandliga,3,FALSE)</f>
        <v>Do</v>
      </c>
      <c r="I44" s="19">
        <f>VLOOKUP(1,Saarlandliga,4,FALSE)</f>
        <v>0.8333333333333334</v>
      </c>
    </row>
    <row r="45" spans="1:9" ht="12.75">
      <c r="A45" s="17">
        <f>IF(B45="Mo",Spieltage!$B$38,IF(B45="Di",Spieltage!$B$39,IF(B45="Mi",Spieltage!$B$40,IF(B45="Do",Spieltage!$B$41,IF(B45="Fr",Spieltage!$B$42,"")))))</f>
        <v>41591</v>
      </c>
      <c r="B45" t="str">
        <f>VLOOKUP(5,Saarlandliga,3,FALSE)</f>
        <v>Mi</v>
      </c>
      <c r="C45" s="19">
        <f>VLOOKUP(5,Saarlandliga,4,FALSE)</f>
        <v>0.8333333333333334</v>
      </c>
      <c r="D45" t="str">
        <f>VLOOKUP(5,Saarlandliga,2,FALSE)</f>
        <v>TV Altenkessel</v>
      </c>
      <c r="E45" s="18" t="s">
        <v>35</v>
      </c>
      <c r="F45" t="str">
        <f>VLOOKUP(2,Saarlandliga,2,FALSE)</f>
        <v>DJK Heusweiler </v>
      </c>
      <c r="G45" s="17">
        <f>IF(H45="Mo",Spieltage!$F$38,IF(H45="Di",Spieltage!$F$39,IF(H45="Mi",Spieltage!$F$40,IF(H45="Do",Spieltage!$F$41,IF(H45="Fr",Spieltage!$F$42,"")))))</f>
        <v>41712</v>
      </c>
      <c r="H45" t="str">
        <f>VLOOKUP(2,Saarlandliga,3,FALSE)</f>
        <v>Fr</v>
      </c>
      <c r="I45" s="19">
        <f>VLOOKUP(2,Saarlandliga,4,FALSE)</f>
        <v>0.8229166666666666</v>
      </c>
    </row>
    <row r="46" spans="1:9" ht="12.75">
      <c r="A46" s="17">
        <f>IF(B46="Mo",Spieltage!$B$38,IF(B46="Di",Spieltage!$B$39,IF(B46="Mi",Spieltage!$B$40,IF(B46="Do",Spieltage!$B$41,IF(B46="Fr",Spieltage!$B$42,"")))))</f>
        <v>41592</v>
      </c>
      <c r="B46" t="str">
        <f>VLOOKUP(6,Saarlandliga,3,FALSE)</f>
        <v>Do</v>
      </c>
      <c r="C46" s="19">
        <f>VLOOKUP(6,Saarlandliga,4,FALSE)</f>
        <v>0.8125</v>
      </c>
      <c r="D46" t="str">
        <f>VLOOKUP(6,Saarlandliga,2,FALSE)</f>
        <v>TTG Reisbach-Nalbach </v>
      </c>
      <c r="E46" s="18" t="s">
        <v>35</v>
      </c>
      <c r="F46" t="str">
        <f>VLOOKUP(8,Saarlandliga,2,FALSE)</f>
        <v>TTG Dillingen </v>
      </c>
      <c r="G46" s="17">
        <f>IF(H46="Mo",Spieltage!$F$38,IF(H46="Di",Spieltage!$F$39,IF(H46="Mi",Spieltage!$F$40,IF(H46="Do",Spieltage!$F$41,IF(H46="Fr",Spieltage!$F$42,"")))))</f>
        <v>41711</v>
      </c>
      <c r="H46" t="str">
        <f>VLOOKUP(8,Saarlandliga,3,FALSE)</f>
        <v>Do</v>
      </c>
      <c r="I46" s="19">
        <f>VLOOKUP(8,Saarlandliga,4,FALSE)</f>
        <v>0.8125</v>
      </c>
    </row>
    <row r="47" spans="1:9" ht="12.75">
      <c r="A47" s="17">
        <f>IF(B47="Mo",Spieltage!$B$38,IF(B47="Di",Spieltage!$B$39,IF(B47="Mi",Spieltage!$B$40,IF(B47="Do",Spieltage!$B$41,IF(B47="Fr",Spieltage!$B$42,"")))))</f>
        <v>41593</v>
      </c>
      <c r="B47" t="str">
        <f>VLOOKUP(7,Saarlandliga,3,FALSE)</f>
        <v>Fr</v>
      </c>
      <c r="C47" s="19">
        <f>VLOOKUP(7,Saarlandliga,4,FALSE)</f>
        <v>0.8125</v>
      </c>
      <c r="D47" t="str">
        <f>VLOOKUP(7,Saarlandliga,2,FALSE)</f>
        <v>DJK Dudweiler </v>
      </c>
      <c r="E47" s="18" t="s">
        <v>35</v>
      </c>
      <c r="F47" t="str">
        <f>VLOOKUP(9,Saarlandliga,2,FALSE)</f>
        <v>TTG Fremersdorf-Gerlfangen</v>
      </c>
      <c r="G47" s="17">
        <f>IF(H47="Mo",Spieltage!$F$38,IF(H47="Di",Spieltage!$F$39,IF(H47="Mi",Spieltage!$F$40,IF(H47="Do",Spieltage!$F$41,IF(H47="Fr",Spieltage!$F$42,"")))))</f>
        <v>41709</v>
      </c>
      <c r="H47" t="str">
        <f>VLOOKUP(9,Saarlandliga,3,FALSE)</f>
        <v>Di</v>
      </c>
      <c r="I47" s="19">
        <f>VLOOKUP(9,Saarlandliga,4,FALSE)</f>
        <v>0.7916666666666666</v>
      </c>
    </row>
    <row r="48" spans="1:9" ht="12.75">
      <c r="A48" s="17">
        <f>IF(B48="Mo",Spieltage!$B$38,IF(B48="Di",Spieltage!$B$39,IF(B48="Mi",Spieltage!$B$40,IF(B48="Do",Spieltage!$B$41,IF(B48="Fr",Spieltage!$B$42,"")))))</f>
        <v>41593</v>
      </c>
      <c r="B48" t="str">
        <f>VLOOKUP(10,Saarlandliga,3,FALSE)</f>
        <v>Fr</v>
      </c>
      <c r="C48" s="19">
        <f>VLOOKUP(10,Saarlandliga,4,FALSE)</f>
        <v>0.8125</v>
      </c>
      <c r="D48" t="str">
        <f>VLOOKUP(10,Saarlandliga,2,FALSE)</f>
        <v>SV Saar 05 Saarbrücken  </v>
      </c>
      <c r="E48" s="18" t="s">
        <v>35</v>
      </c>
      <c r="F48" t="str">
        <f>VLOOKUP(3,Saarlandliga,2,FALSE)</f>
        <v>TTC Gersweiler</v>
      </c>
      <c r="G48" s="17">
        <f>IF(H48="Mo",Spieltage!$F$38,IF(H48="Di",Spieltage!$F$39,IF(H48="Mi",Spieltage!$F$40,IF(H48="Do",Spieltage!$F$41,IF(H48="Fr",Spieltage!$F$42,"")))))</f>
        <v>41711</v>
      </c>
      <c r="H48" t="str">
        <f>VLOOKUP(3,Saarlandliga,3,FALSE)</f>
        <v>Do</v>
      </c>
      <c r="I48" s="19">
        <f>VLOOKUP(3,Saarlandliga,4,FALSE)</f>
        <v>0.7916666666666666</v>
      </c>
    </row>
    <row r="50" spans="1:9" ht="12.75">
      <c r="A50" s="17">
        <f>IF(B50="Mo",Spieltage!$B$43,IF(B50="Di",Spieltage!$B$44,IF(B50="Mi",Spieltage!$B$45,IF(B50="Do",Spieltage!$B$46,IF(B50="Fr",Spieltage!$B$47,"")))))</f>
        <v>40875</v>
      </c>
      <c r="B50" t="str">
        <f>VLOOKUP(1,Saarlandliga,3,FALSE)</f>
        <v>Do</v>
      </c>
      <c r="C50" s="19">
        <f>VLOOKUP(1,Saarlandliga,4,FALSE)</f>
        <v>0.8333333333333334</v>
      </c>
      <c r="D50" t="str">
        <f>VLOOKUP(1,Saarlandliga,2,FALSE)</f>
        <v>TTC Altenwald </v>
      </c>
      <c r="E50" s="18" t="s">
        <v>35</v>
      </c>
      <c r="F50" t="str">
        <f>VLOOKUP(7,Saarlandliga,2,FALSE)</f>
        <v>DJK Dudweiler </v>
      </c>
      <c r="G50" s="17">
        <f>IF(H50="Mo",Spieltage!$F$43,IF(H50="Di",Spieltage!$F$44,IF(H50="Mi",Spieltage!$F$45,IF(H50="Do",Spieltage!$F$46,IF(H50="Fr",Spieltage!$F$47,"")))))</f>
        <v>41726</v>
      </c>
      <c r="H50" t="str">
        <f>VLOOKUP(7,Saarlandliga,3,FALSE)</f>
        <v>Fr</v>
      </c>
      <c r="I50" s="19">
        <f>VLOOKUP(7,Saarlandliga,4,FALSE)</f>
        <v>0.8125</v>
      </c>
    </row>
    <row r="51" spans="1:9" ht="12.75">
      <c r="A51" s="17">
        <f>IF(B51="Mo",Spieltage!$B$43,IF(B51="Di",Spieltage!$B$44,IF(B51="Mi",Spieltage!$B$45,IF(B51="Do",Spieltage!$B$46,IF(B51="Fr",Spieltage!$B$47,"")))))</f>
        <v>40876</v>
      </c>
      <c r="B51" t="str">
        <f>VLOOKUP(2,Saarlandliga,3,FALSE)</f>
        <v>Fr</v>
      </c>
      <c r="C51" s="19">
        <f>VLOOKUP(2,Saarlandliga,4,FALSE)</f>
        <v>0.8229166666666666</v>
      </c>
      <c r="D51" t="str">
        <f>VLOOKUP(2,Saarlandliga,2,FALSE)</f>
        <v>DJK Heusweiler </v>
      </c>
      <c r="E51" s="18" t="s">
        <v>35</v>
      </c>
      <c r="F51" t="str">
        <f>VLOOKUP(6,Saarlandliga,2,FALSE)</f>
        <v>TTG Reisbach-Nalbach </v>
      </c>
      <c r="G51" s="17">
        <f>IF(H51="Mo",Spieltage!$F$43,IF(H51="Di",Spieltage!$F$44,IF(H51="Mi",Spieltage!$F$45,IF(H51="Do",Spieltage!$F$46,IF(H51="Fr",Spieltage!$F$47,"")))))</f>
        <v>41725</v>
      </c>
      <c r="H51" t="str">
        <f>VLOOKUP(6,Saarlandliga,3,FALSE)</f>
        <v>Do</v>
      </c>
      <c r="I51" s="19">
        <f>VLOOKUP(6,Saarlandliga,4,FALSE)</f>
        <v>0.8125</v>
      </c>
    </row>
    <row r="52" spans="1:9" ht="12.75">
      <c r="A52" s="17">
        <f>IF(B52="Mo",Spieltage!$B$43,IF(B52="Di",Spieltage!$B$44,IF(B52="Mi",Spieltage!$B$45,IF(B52="Do",Spieltage!$B$46,IF(B52="Fr",Spieltage!$B$47,"")))))</f>
        <v>40875</v>
      </c>
      <c r="B52" t="str">
        <f>VLOOKUP(3,Saarlandliga,3,FALSE)</f>
        <v>Do</v>
      </c>
      <c r="C52" s="19">
        <f>VLOOKUP(3,Saarlandliga,4,FALSE)</f>
        <v>0.7916666666666666</v>
      </c>
      <c r="D52" t="str">
        <f>VLOOKUP(3,Saarlandliga,2,FALSE)</f>
        <v>TTC Gersweiler</v>
      </c>
      <c r="E52" s="18" t="s">
        <v>35</v>
      </c>
      <c r="F52" t="str">
        <f>VLOOKUP(5,Saarlandliga,2,FALSE)</f>
        <v>TV Altenkessel</v>
      </c>
      <c r="G52" s="17">
        <f>IF(H52="Mo",Spieltage!$F$43,IF(H52="Di",Spieltage!$F$44,IF(H52="Mi",Spieltage!$F$45,IF(H52="Do",Spieltage!$F$46,IF(H52="Fr",Spieltage!$F$47,"")))))</f>
        <v>41724</v>
      </c>
      <c r="H52" t="str">
        <f>VLOOKUP(5,Saarlandliga,3,FALSE)</f>
        <v>Mi</v>
      </c>
      <c r="I52" s="19">
        <f>VLOOKUP(5,Saarlandliga,4,FALSE)</f>
        <v>0.8333333333333334</v>
      </c>
    </row>
    <row r="53" spans="1:9" ht="12.75">
      <c r="A53" s="17">
        <f>IF(B53="Mo",Spieltage!$B$43,IF(B53="Di",Spieltage!$B$44,IF(B53="Mi",Spieltage!$B$45,IF(B53="Do",Spieltage!$B$46,IF(B53="Fr",Spieltage!$B$47,"")))))</f>
        <v>40874</v>
      </c>
      <c r="B53" t="str">
        <f>VLOOKUP(4,Saarlandliga,3,FALSE)</f>
        <v>Mi</v>
      </c>
      <c r="C53" s="19">
        <f>VLOOKUP(4,Saarlandliga,4,FALSE)</f>
        <v>0.8125</v>
      </c>
      <c r="D53" t="str">
        <f>VLOOKUP(4,Saarlandliga,2,FALSE)</f>
        <v>TTC Köllerbach </v>
      </c>
      <c r="E53" s="18" t="s">
        <v>35</v>
      </c>
      <c r="F53" t="str">
        <f>VLOOKUP(10,Saarlandliga,2,FALSE)</f>
        <v>SV Saar 05 Saarbrücken  </v>
      </c>
      <c r="G53" s="17">
        <f>IF(H53="Mo",Spieltage!$F$43,IF(H53="Di",Spieltage!$F$44,IF(H53="Mi",Spieltage!$F$45,IF(H53="Do",Spieltage!$F$46,IF(H53="Fr",Spieltage!$F$47,"")))))</f>
        <v>41726</v>
      </c>
      <c r="H53" t="str">
        <f>VLOOKUP(10,Saarlandliga,3,FALSE)</f>
        <v>Fr</v>
      </c>
      <c r="I53" s="19">
        <f>VLOOKUP(10,Saarlandliga,4,FALSE)</f>
        <v>0.8125</v>
      </c>
    </row>
    <row r="54" spans="1:9" ht="12.75">
      <c r="A54" s="17">
        <f>IF(B54="Mo",Spieltage!$B$43,IF(B54="Di",Spieltage!$B$44,IF(B54="Mi",Spieltage!$B$45,IF(B54="Do",Spieltage!$B$46,IF(B54="Fr",Spieltage!$B$47,"")))))</f>
        <v>40873</v>
      </c>
      <c r="B54" t="str">
        <f>VLOOKUP(9,Saarlandliga,3,FALSE)</f>
        <v>Di</v>
      </c>
      <c r="C54" s="19">
        <f>VLOOKUP(9,Saarlandliga,4,FALSE)</f>
        <v>0.7916666666666666</v>
      </c>
      <c r="D54" t="str">
        <f>VLOOKUP(9,Saarlandliga,2,FALSE)</f>
        <v>TTG Fremersdorf-Gerlfangen</v>
      </c>
      <c r="E54" s="18" t="s">
        <v>35</v>
      </c>
      <c r="F54" t="str">
        <f>VLOOKUP(8,Saarlandliga,2,FALSE)</f>
        <v>TTG Dillingen </v>
      </c>
      <c r="G54" s="17">
        <f>IF(H54="Mo",Spieltage!$F$43,IF(H54="Di",Spieltage!$F$44,IF(H54="Mi",Spieltage!$F$45,IF(H54="Do",Spieltage!$F$46,IF(H54="Fr",Spieltage!$F$47,"")))))</f>
        <v>41725</v>
      </c>
      <c r="H54" t="str">
        <f>VLOOKUP(8,Saarlandliga,3,FALSE)</f>
        <v>Do</v>
      </c>
      <c r="I54" s="19">
        <f>VLOOKUP(8,Saarlandliga,4,FALSE)</f>
        <v>0.8125</v>
      </c>
    </row>
    <row r="56" spans="1:9" ht="12.75">
      <c r="A56" s="17">
        <f>IF(B56="Mo",Spieltage!$B$48,IF(B56="Di",Spieltage!$B$49,IF(B56="Mi",Spieltage!$B$50,IF(B56="Do",Spieltage!$B$51,IF(B56="Fr",Spieltage!$B$52,"")))))</f>
        <v>41612</v>
      </c>
      <c r="B56" t="str">
        <f>VLOOKUP(5,Saarlandliga,3,FALSE)</f>
        <v>Mi</v>
      </c>
      <c r="C56" s="19">
        <f>VLOOKUP(5,Saarlandliga,4,FALSE)</f>
        <v>0.8333333333333334</v>
      </c>
      <c r="D56" t="str">
        <f>VLOOKUP(5,Saarlandliga,2,FALSE)</f>
        <v>TV Altenkessel</v>
      </c>
      <c r="E56" s="18" t="s">
        <v>35</v>
      </c>
      <c r="F56" t="str">
        <f>VLOOKUP(4,Saarlandliga,2,FALSE)</f>
        <v>TTC Köllerbach </v>
      </c>
      <c r="G56" s="17">
        <f>IF(H56="Mo",Spieltage!$F$48,IF(H56="Di",Spieltage!$F$49,IF(H56="Mi",Spieltage!$F$50,IF(H56="Do",Spieltage!$F$51,IF(H56="Fr",Spieltage!$F$52,"")))))</f>
        <v>41731</v>
      </c>
      <c r="H56" t="str">
        <f>VLOOKUP(4,Saarlandliga,3,FALSE)</f>
        <v>Mi</v>
      </c>
      <c r="I56" s="19">
        <f>VLOOKUP(4,Saarlandliga,4,FALSE)</f>
        <v>0.8125</v>
      </c>
    </row>
    <row r="57" spans="1:9" ht="12.75">
      <c r="A57" s="17">
        <f>IF(B57="Mo",Spieltage!$B$48,IF(B57="Di",Spieltage!$B$49,IF(B57="Mi",Spieltage!$B$50,IF(B57="Do",Spieltage!$B$51,IF(B57="Fr",Spieltage!$B$52,"")))))</f>
        <v>41613</v>
      </c>
      <c r="B57" t="str">
        <f>VLOOKUP(6,Saarlandliga,3,FALSE)</f>
        <v>Do</v>
      </c>
      <c r="C57" s="19">
        <f>VLOOKUP(6,Saarlandliga,4,FALSE)</f>
        <v>0.8125</v>
      </c>
      <c r="D57" t="str">
        <f>VLOOKUP(6,Saarlandliga,2,FALSE)</f>
        <v>TTG Reisbach-Nalbach </v>
      </c>
      <c r="E57" s="18" t="s">
        <v>35</v>
      </c>
      <c r="F57" t="str">
        <f>VLOOKUP(3,Saarlandliga,2,FALSE)</f>
        <v>TTC Gersweiler</v>
      </c>
      <c r="G57" s="17">
        <f>IF(H57="Mo",Spieltage!$F$48,IF(H57="Di",Spieltage!$F$49,IF(H57="Mi",Spieltage!$F$50,IF(H57="Do",Spieltage!$F$51,IF(H57="Fr",Spieltage!$F$52,"")))))</f>
        <v>41732</v>
      </c>
      <c r="H57" t="str">
        <f>VLOOKUP(3,Saarlandliga,3,FALSE)</f>
        <v>Do</v>
      </c>
      <c r="I57" s="19">
        <f>VLOOKUP(3,Saarlandliga,4,FALSE)</f>
        <v>0.7916666666666666</v>
      </c>
    </row>
    <row r="58" spans="1:9" ht="12.75">
      <c r="A58" s="17">
        <f>IF(B58="Mo",Spieltage!$B$48,IF(B58="Di",Spieltage!$B$49,IF(B58="Mi",Spieltage!$B$50,IF(B58="Do",Spieltage!$B$51,IF(B58="Fr",Spieltage!$B$52,"")))))</f>
        <v>41614</v>
      </c>
      <c r="B58" t="str">
        <f>VLOOKUP(7,Saarlandliga,3,FALSE)</f>
        <v>Fr</v>
      </c>
      <c r="C58" s="19">
        <f>VLOOKUP(7,Saarlandliga,4,FALSE)</f>
        <v>0.8125</v>
      </c>
      <c r="D58" t="str">
        <f>VLOOKUP(7,Saarlandliga,2,FALSE)</f>
        <v>DJK Dudweiler </v>
      </c>
      <c r="E58" s="18" t="s">
        <v>35</v>
      </c>
      <c r="F58" t="str">
        <f>VLOOKUP(2,Saarlandliga,2,FALSE)</f>
        <v>DJK Heusweiler </v>
      </c>
      <c r="G58" s="17">
        <f>IF(H58="Mo",Spieltage!$F$48,IF(H58="Di",Spieltage!$F$49,IF(H58="Mi",Spieltage!$F$50,IF(H58="Do",Spieltage!$F$51,IF(H58="Fr",Spieltage!$F$52,"")))))</f>
        <v>41733</v>
      </c>
      <c r="H58" t="str">
        <f>VLOOKUP(2,Saarlandliga,3,FALSE)</f>
        <v>Fr</v>
      </c>
      <c r="I58" s="19">
        <f>VLOOKUP(2,Saarlandliga,4,FALSE)</f>
        <v>0.8229166666666666</v>
      </c>
    </row>
    <row r="59" spans="1:9" ht="12.75">
      <c r="A59" s="17">
        <f>IF(B59="Mo",Spieltage!$B$48,IF(B59="Di",Spieltage!$B$49,IF(B59="Mi",Spieltage!$B$50,IF(B59="Do",Spieltage!$B$51,IF(B59="Fr",Spieltage!$B$52,"")))))</f>
        <v>41613</v>
      </c>
      <c r="B59" t="str">
        <f>VLOOKUP(8,Saarlandliga,3,FALSE)</f>
        <v>Do</v>
      </c>
      <c r="C59" s="19">
        <f>VLOOKUP(8,Saarlandliga,4,FALSE)</f>
        <v>0.8125</v>
      </c>
      <c r="D59" t="str">
        <f>VLOOKUP(8,Saarlandliga,2,FALSE)</f>
        <v>TTG Dillingen </v>
      </c>
      <c r="E59" s="18" t="s">
        <v>35</v>
      </c>
      <c r="F59" t="str">
        <f>VLOOKUP(1,Saarlandliga,2,FALSE)</f>
        <v>TTC Altenwald </v>
      </c>
      <c r="G59" s="17">
        <f>IF(H59="Mo",Spieltage!$F$48,IF(H59="Di",Spieltage!$F$49,IF(H59="Mi",Spieltage!$F$50,IF(H59="Do",Spieltage!$F$51,IF(H59="Fr",Spieltage!$F$52,"")))))</f>
        <v>41732</v>
      </c>
      <c r="H59" t="str">
        <f>VLOOKUP(1,Saarlandliga,3,FALSE)</f>
        <v>Do</v>
      </c>
      <c r="I59" s="19">
        <f>VLOOKUP(1,Saarlandliga,4,FALSE)</f>
        <v>0.8333333333333334</v>
      </c>
    </row>
    <row r="60" spans="1:9" ht="12.75">
      <c r="A60" s="17">
        <f>IF(B60="Mo",Spieltage!$B$48,IF(B60="Di",Spieltage!$B$49,IF(B60="Mi",Spieltage!$B$50,IF(B60="Do",Spieltage!$B$51,IF(B60="Fr",Spieltage!$B$52,"")))))</f>
        <v>41614</v>
      </c>
      <c r="B60" t="str">
        <f>VLOOKUP(10,Saarlandliga,3,FALSE)</f>
        <v>Fr</v>
      </c>
      <c r="C60" s="19">
        <f>VLOOKUP(10,Saarlandliga,4,FALSE)</f>
        <v>0.8125</v>
      </c>
      <c r="D60" t="str">
        <f>VLOOKUP(10,Saarlandliga,2,FALSE)</f>
        <v>SV Saar 05 Saarbrücken  </v>
      </c>
      <c r="E60" s="18" t="s">
        <v>35</v>
      </c>
      <c r="F60" t="str">
        <f>VLOOKUP(9,Saarlandliga,2,FALSE)</f>
        <v>TTG Fremersdorf-Gerlfangen</v>
      </c>
      <c r="G60" s="17">
        <f>IF(H60="Mo",Spieltage!$F$48,IF(H60="Di",Spieltage!$F$49,IF(H60="Mi",Spieltage!$F$50,IF(H60="Do",Spieltage!$F$51,IF(H60="Fr",Spieltage!$F$52,"")))))</f>
        <v>41730</v>
      </c>
      <c r="H60" t="str">
        <f>VLOOKUP(9,Saarlandliga,3,FALSE)</f>
        <v>Di</v>
      </c>
      <c r="I60" s="19">
        <f>VLOOKUP(9,Saarlandliga,4,FALSE)</f>
        <v>0.7916666666666666</v>
      </c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A2" sqref="A2"/>
    </sheetView>
  </sheetViews>
  <sheetFormatPr defaultColWidth="11.421875" defaultRowHeight="12.75"/>
  <cols>
    <col min="1" max="1" width="10.28125" style="0" customWidth="1"/>
    <col min="2" max="2" width="3.7109375" style="0" customWidth="1"/>
    <col min="3" max="3" width="5.7109375" style="0" customWidth="1"/>
    <col min="4" max="4" width="21.7109375" style="0" customWidth="1"/>
    <col min="5" max="5" width="1.7109375" style="0" customWidth="1"/>
    <col min="6" max="6" width="21.7109375" style="0" customWidth="1"/>
    <col min="7" max="7" width="10.28125" style="0" customWidth="1"/>
    <col min="8" max="8" width="3.7109375" style="0" customWidth="1"/>
    <col min="9" max="9" width="5.7109375" style="0" customWidth="1"/>
  </cols>
  <sheetData>
    <row r="1" spans="1:9" ht="12.75">
      <c r="A1" s="1" t="s">
        <v>31</v>
      </c>
      <c r="I1" s="20" t="s">
        <v>32</v>
      </c>
    </row>
    <row r="2" ht="15.75">
      <c r="D2" s="4" t="s">
        <v>5</v>
      </c>
    </row>
    <row r="4" spans="1:4" ht="15.75">
      <c r="A4" s="4" t="s">
        <v>33</v>
      </c>
      <c r="D4" s="1" t="str">
        <f>Spieltage!A3&amp;" "&amp;Spieltage!B3</f>
        <v>Saison 2013/2014</v>
      </c>
    </row>
    <row r="6" spans="1:7" ht="12.75">
      <c r="A6" s="1" t="s">
        <v>28</v>
      </c>
      <c r="G6" s="1" t="s">
        <v>30</v>
      </c>
    </row>
    <row r="7" spans="1:7" ht="12.75">
      <c r="A7" s="1"/>
      <c r="G7" s="1"/>
    </row>
    <row r="8" spans="1:9" ht="12.75">
      <c r="A8" s="17">
        <f>IF(B8="Mo",Spieltage!$B$8,IF(B8="Di",Spieltage!$B$9,IF(B8="Mi",Spieltage!$B$10,IF(B8="Do",Spieltage!$B$11,IF(B8="Fr",Spieltage!$B$12,"")))))</f>
        <v>41530</v>
      </c>
      <c r="B8" t="str">
        <f>VLOOKUP(1,Landesliga,3,FALSE)</f>
        <v>Fr</v>
      </c>
      <c r="C8" s="19">
        <f>VLOOKUP(1,Landesliga,4,FALSE)</f>
        <v>0.7916666666666666</v>
      </c>
      <c r="D8" t="str">
        <f>VLOOKUP(1,Landesliga,2,FALSE)</f>
        <v>TTV Hasborn </v>
      </c>
      <c r="E8" s="18" t="s">
        <v>35</v>
      </c>
      <c r="F8" t="e">
        <f>VLOOKUP(11,Landesliga,2,FALSE)</f>
        <v>#N/A</v>
      </c>
      <c r="G8" s="17" t="e">
        <f>IF(H8="Mo",Spieltage!$F$8,IF(H8="Di",Spieltage!$F$9,IF(H8="Mi",Spieltage!$F$10,IF(H8="Do",Spieltage!$F$11,IF(H8="Fr",Spieltage!$F$12,"")))))</f>
        <v>#N/A</v>
      </c>
      <c r="H8" t="e">
        <f>VLOOKUP(11,Landesliga,3,FALSE)</f>
        <v>#N/A</v>
      </c>
      <c r="I8" s="19" t="e">
        <f>VLOOKUP(11,Landesliga,4,FALSE)</f>
        <v>#N/A</v>
      </c>
    </row>
    <row r="9" spans="1:9" ht="12.75">
      <c r="A9" s="17">
        <f>IF(B9="Mo",Spieltage!$B$8,IF(B9="Di",Spieltage!$B$9,IF(B9="Mi",Spieltage!$B$10,IF(B9="Do",Spieltage!$B$11,IF(B9="Fr",Spieltage!$B$12,"")))))</f>
        <v>41527</v>
      </c>
      <c r="B9" t="str">
        <f>VLOOKUP(2,Landesliga,3,FALSE)</f>
        <v>Di</v>
      </c>
      <c r="C9" s="19" t="str">
        <f>VLOOKUP(2,Landesliga,4,FALSE)</f>
        <v>20.00</v>
      </c>
      <c r="D9" t="str">
        <f>VLOOKUP(2,Landesliga,2,FALSE)</f>
        <v>TTC Saarwellingen </v>
      </c>
      <c r="E9" s="18" t="s">
        <v>35</v>
      </c>
      <c r="F9" t="str">
        <f>VLOOKUP(9,Landesliga,2,FALSE)</f>
        <v>SG Merchweiler/TV Limbach</v>
      </c>
      <c r="G9" s="17">
        <f>IF(H9="Mo",Spieltage!$F$8,IF(H9="Di",Spieltage!$F$9,IF(H9="Mi",Spieltage!$F$10,IF(H9="Do",Spieltage!$F$11,IF(H9="Fr",Spieltage!$F$12,"")))))</f>
        <v>41648</v>
      </c>
      <c r="H9" t="str">
        <f>VLOOKUP(9,Landesliga,3,FALSE)</f>
        <v>Do</v>
      </c>
      <c r="I9" s="19">
        <f>VLOOKUP(9,Landesliga,4,FALSE)</f>
        <v>0.8333333333333334</v>
      </c>
    </row>
    <row r="10" spans="1:9" ht="12.75">
      <c r="A10" s="17">
        <f>IF(B10="Mo",Spieltage!$B$8,IF(B10="Di",Spieltage!$B$9,IF(B10="Mi",Spieltage!$B$10,IF(B10="Do",Spieltage!$B$11,IF(B10="Fr",Spieltage!$B$12,"")))))</f>
        <v>41528</v>
      </c>
      <c r="B10" t="str">
        <f>VLOOKUP(3,Landesliga,3,FALSE)</f>
        <v>Mi</v>
      </c>
      <c r="C10" s="19">
        <f>VLOOKUP(3,Landesliga,4,FALSE)</f>
        <v>0.8125</v>
      </c>
      <c r="D10" t="str">
        <f>VLOOKUP(3,Landesliga,2,FALSE)</f>
        <v>TTC Wallerfangen </v>
      </c>
      <c r="E10" s="18" t="s">
        <v>35</v>
      </c>
      <c r="F10" t="str">
        <f>VLOOKUP(8,Landesliga,2,FALSE)</f>
        <v>TTC Püttlingen </v>
      </c>
      <c r="G10" s="17">
        <f>IF(H10="Mo",Spieltage!$F$8,IF(H10="Di",Spieltage!$F$9,IF(H10="Mi",Spieltage!$F$10,IF(H10="Do",Spieltage!$F$11,IF(H10="Fr",Spieltage!$F$12,"")))))</f>
        <v>41646</v>
      </c>
      <c r="H10" t="str">
        <f>VLOOKUP(8,Landesliga,3,FALSE)</f>
        <v>Di</v>
      </c>
      <c r="I10" s="19">
        <f>VLOOKUP(8,Landesliga,4,FALSE)</f>
        <v>0.8125</v>
      </c>
    </row>
    <row r="11" spans="1:9" ht="12.75">
      <c r="A11" s="17">
        <f>IF(B11="Mo",Spieltage!$B$8,IF(B11="Di",Spieltage!$B$9,IF(B11="Mi",Spieltage!$B$10,IF(B11="Do",Spieltage!$B$11,IF(B11="Fr",Spieltage!$B$12,"")))))</f>
        <v>41529</v>
      </c>
      <c r="B11" t="str">
        <f>VLOOKUP(4,Landesliga,3,FALSE)</f>
        <v>Do</v>
      </c>
      <c r="C11" s="19">
        <f>VLOOKUP(4,Landesliga,4,FALSE)</f>
        <v>0.84375</v>
      </c>
      <c r="D11" t="str">
        <f>VLOOKUP(4,Landesliga,2,FALSE)</f>
        <v>MTTC Namborn</v>
      </c>
      <c r="E11" s="18" t="s">
        <v>35</v>
      </c>
      <c r="F11" t="str">
        <f>VLOOKUP(7,Landesliga,2,FALSE)</f>
        <v>TTC Ensdorf</v>
      </c>
      <c r="G11" s="17">
        <f>IF(H11="Mo",Spieltage!$F$8,IF(H11="Di",Spieltage!$F$9,IF(H11="Mi",Spieltage!$F$10,IF(H11="Do",Spieltage!$F$11,IF(H11="Fr",Spieltage!$F$12,"")))))</f>
        <v>41648</v>
      </c>
      <c r="H11" t="str">
        <f>VLOOKUP(7,Landesliga,3,FALSE)</f>
        <v>Do</v>
      </c>
      <c r="I11" s="19">
        <f>VLOOKUP(7,Landesliga,4,FALSE)</f>
        <v>0.8125</v>
      </c>
    </row>
    <row r="12" spans="1:9" ht="12.75">
      <c r="A12" s="17">
        <f>IF(B12="Mo",Spieltage!$B$8,IF(B12="Di",Spieltage!$B$9,IF(B12="Mi",Spieltage!$B$10,IF(B12="Do",Spieltage!$B$11,IF(B12="Fr",Spieltage!$B$12,"")))))</f>
        <v>41530</v>
      </c>
      <c r="B12" t="str">
        <f>VLOOKUP(10,Landesliga,3,FALSE)</f>
        <v>Fr</v>
      </c>
      <c r="C12" s="19">
        <f>VLOOKUP(10,Landesliga,4,FALSE)</f>
        <v>0.8333333333333334</v>
      </c>
      <c r="D12" t="str">
        <f>VLOOKUP(10,Landesliga,2,FALSE)</f>
        <v>ATSV Saarbrücken</v>
      </c>
      <c r="E12" s="18" t="s">
        <v>35</v>
      </c>
      <c r="F12" t="str">
        <f>VLOOKUP(6,Landesliga,2,FALSE)</f>
        <v>TTC Dörsdorf   </v>
      </c>
      <c r="G12" s="17">
        <f>IF(H12="Mo",Spieltage!$F$8,IF(H12="Di",Spieltage!$F$9,IF(H12="Mi",Spieltage!$F$10,IF(H12="Do",Spieltage!$F$11,IF(H12="Fr",Spieltage!$F$12,"")))))</f>
        <v>41646</v>
      </c>
      <c r="H12" t="str">
        <f>VLOOKUP(6,Landesliga,3,FALSE)</f>
        <v>Di</v>
      </c>
      <c r="I12" s="19">
        <f>VLOOKUP(6,Landesliga,4,FALSE)</f>
        <v>0.7916666666666666</v>
      </c>
    </row>
    <row r="13" spans="1:9" ht="12.75">
      <c r="A13" s="17" t="e">
        <f>IF(B13="Mo",Spieltage!$B$8,IF(B13="Di",Spieltage!$B$9,IF(B13="Mi",Spieltage!$B$10,IF(B13="Do",Spieltage!$B$11,IF(B13="Fr",Spieltage!$B$12,"")))))</f>
        <v>#N/A</v>
      </c>
      <c r="B13" t="e">
        <f>VLOOKUP(12,Landesliga,3,FALSE)</f>
        <v>#N/A</v>
      </c>
      <c r="C13" s="19" t="e">
        <f>VLOOKUP(12,Landesliga,4,FALSE)</f>
        <v>#N/A</v>
      </c>
      <c r="D13" t="e">
        <f>VLOOKUP(12,Landesliga,2,FALSE)</f>
        <v>#N/A</v>
      </c>
      <c r="E13" s="18" t="s">
        <v>35</v>
      </c>
      <c r="F13" t="str">
        <f>VLOOKUP(5,Landesliga,2,FALSE)</f>
        <v>TTF Eppelborn </v>
      </c>
      <c r="G13" s="17">
        <f>IF(H13="Mo",Spieltage!$F$8,IF(H13="Di",Spieltage!$F$9,IF(H13="Mi",Spieltage!$F$10,IF(H13="Do",Spieltage!$F$11,IF(H13="Fr",Spieltage!$F$12,"")))))</f>
        <v>41649</v>
      </c>
      <c r="H13" t="str">
        <f>VLOOKUP(5,Landesliga,3,FALSE)</f>
        <v>Fr</v>
      </c>
      <c r="I13" s="19">
        <f>VLOOKUP(5,Landesliga,4,FALSE)</f>
        <v>0.8125</v>
      </c>
    </row>
    <row r="15" spans="1:9" ht="12.75">
      <c r="A15" s="17">
        <f>IF(B15="Mo",Spieltage!$B$13,IF(B15="Di",Spieltage!$B$14,IF(B15="Mi",Spieltage!$B$15,IF(B15="Do",Spieltage!$B$16,IF(B15="Fr",Spieltage!$B$17,"")))))</f>
        <v>41537</v>
      </c>
      <c r="B15" t="str">
        <f>VLOOKUP(1,Landesliga,3,FALSE)</f>
        <v>Fr</v>
      </c>
      <c r="C15" s="19">
        <f>VLOOKUP(1,Landesliga,4,FALSE)</f>
        <v>0.7916666666666666</v>
      </c>
      <c r="D15" t="str">
        <f>VLOOKUP(1,Landesliga,2,FALSE)</f>
        <v>TTV Hasborn </v>
      </c>
      <c r="E15" s="18" t="s">
        <v>35</v>
      </c>
      <c r="F15" t="str">
        <f>VLOOKUP(4,Landesliga,2,FALSE)</f>
        <v>MTTC Namborn</v>
      </c>
      <c r="G15" s="17">
        <f>IF(H15="Mo",Spieltage!$F$13,IF(H15="Di",Spieltage!$F$14,IF(H15="Mi",Spieltage!$F$15,IF(H15="Do",Spieltage!$F$16,IF(H15="Fr",Spieltage!$F$17,"")))))</f>
        <v>41662</v>
      </c>
      <c r="H15" t="str">
        <f>VLOOKUP(4,Landesliga,3,FALSE)</f>
        <v>Do</v>
      </c>
      <c r="I15" s="19">
        <f>VLOOKUP(4,Landesliga,4,FALSE)</f>
        <v>0.84375</v>
      </c>
    </row>
    <row r="16" spans="1:9" ht="12.75">
      <c r="A16" s="17">
        <f>IF(B16="Mo",Spieltage!$B$13,IF(B16="Di",Spieltage!$B$14,IF(B16="Mi",Spieltage!$B$15,IF(B16="Do",Spieltage!$B$16,IF(B16="Fr",Spieltage!$B$17,"")))))</f>
        <v>41534</v>
      </c>
      <c r="B16" t="str">
        <f>VLOOKUP(6,Landesliga,3,FALSE)</f>
        <v>Di</v>
      </c>
      <c r="C16" s="19">
        <f>VLOOKUP(6,Landesliga,4,FALSE)</f>
        <v>0.7916666666666666</v>
      </c>
      <c r="D16" t="str">
        <f>VLOOKUP(6,Landesliga,2,FALSE)</f>
        <v>TTC Dörsdorf   </v>
      </c>
      <c r="E16" s="18" t="s">
        <v>35</v>
      </c>
      <c r="F16" t="e">
        <f>VLOOKUP(12,Landesliga,2,FALSE)</f>
        <v>#N/A</v>
      </c>
      <c r="G16" s="17" t="e">
        <f>IF(H16="Mo",Spieltage!$F$13,IF(H16="Di",Spieltage!$F$14,IF(H16="Mi",Spieltage!$F$15,IF(H16="Do",Spieltage!$F$16,IF(H16="Fr",Spieltage!$F$17,"")))))</f>
        <v>#N/A</v>
      </c>
      <c r="H16" t="e">
        <f>VLOOKUP(12,Landesliga,3,FALSE)</f>
        <v>#N/A</v>
      </c>
      <c r="I16" s="19" t="e">
        <f>VLOOKUP(12,Landesliga,4,FALSE)</f>
        <v>#N/A</v>
      </c>
    </row>
    <row r="17" spans="1:9" ht="12.75">
      <c r="A17" s="17">
        <f>IF(B17="Mo",Spieltage!$B$13,IF(B17="Di",Spieltage!$B$14,IF(B17="Mi",Spieltage!$B$15,IF(B17="Do",Spieltage!$B$16,IF(B17="Fr",Spieltage!$B$17,"")))))</f>
        <v>41536</v>
      </c>
      <c r="B17" t="str">
        <f>VLOOKUP(7,Landesliga,3,FALSE)</f>
        <v>Do</v>
      </c>
      <c r="C17" s="19">
        <f>VLOOKUP(7,Landesliga,4,FALSE)</f>
        <v>0.8125</v>
      </c>
      <c r="D17" t="str">
        <f>VLOOKUP(7,Landesliga,2,FALSE)</f>
        <v>TTC Ensdorf</v>
      </c>
      <c r="E17" s="18" t="s">
        <v>35</v>
      </c>
      <c r="F17" t="str">
        <f>VLOOKUP(10,Landesliga,2,FALSE)</f>
        <v>ATSV Saarbrücken</v>
      </c>
      <c r="G17" s="17">
        <f>IF(H17="Mo",Spieltage!$F$13,IF(H17="Di",Spieltage!$F$14,IF(H17="Mi",Spieltage!$F$15,IF(H17="Do",Spieltage!$F$16,IF(H17="Fr",Spieltage!$F$17,"")))))</f>
        <v>41663</v>
      </c>
      <c r="H17" t="str">
        <f>VLOOKUP(10,Landesliga,3,FALSE)</f>
        <v>Fr</v>
      </c>
      <c r="I17" s="19">
        <f>VLOOKUP(10,Landesliga,4,FALSE)</f>
        <v>0.8333333333333334</v>
      </c>
    </row>
    <row r="18" spans="1:9" ht="12.75">
      <c r="A18" s="17">
        <f>IF(B18="Mo",Spieltage!$B$13,IF(B18="Di",Spieltage!$B$14,IF(B18="Mi",Spieltage!$B$15,IF(B18="Do",Spieltage!$B$16,IF(B18="Fr",Spieltage!$B$17,"")))))</f>
        <v>41534</v>
      </c>
      <c r="B18" t="str">
        <f>VLOOKUP(8,Landesliga,3,FALSE)</f>
        <v>Di</v>
      </c>
      <c r="C18" s="19">
        <f>VLOOKUP(8,Landesliga,4,FALSE)</f>
        <v>0.8125</v>
      </c>
      <c r="D18" t="str">
        <f>VLOOKUP(8,Landesliga,2,FALSE)</f>
        <v>TTC Püttlingen </v>
      </c>
      <c r="E18" s="18" t="s">
        <v>35</v>
      </c>
      <c r="F18" t="str">
        <f>VLOOKUP(5,Landesliga,2,FALSE)</f>
        <v>TTF Eppelborn </v>
      </c>
      <c r="G18" s="17">
        <f>IF(H18="Mo",Spieltage!$F$13,IF(H18="Di",Spieltage!$F$14,IF(H18="Mi",Spieltage!$F$15,IF(H18="Do",Spieltage!$F$16,IF(H18="Fr",Spieltage!$F$17,"")))))</f>
        <v>41663</v>
      </c>
      <c r="H18" t="str">
        <f>VLOOKUP(5,Landesliga,3,FALSE)</f>
        <v>Fr</v>
      </c>
      <c r="I18" s="19">
        <f>VLOOKUP(5,Landesliga,4,FALSE)</f>
        <v>0.8125</v>
      </c>
    </row>
    <row r="19" spans="1:9" ht="12.75">
      <c r="A19" s="17">
        <f>IF(B19="Mo",Spieltage!$B$13,IF(B19="Di",Spieltage!$B$14,IF(B19="Mi",Spieltage!$B$15,IF(B19="Do",Spieltage!$B$16,IF(B19="Fr",Spieltage!$B$17,"")))))</f>
        <v>41536</v>
      </c>
      <c r="B19" t="str">
        <f>VLOOKUP(9,Landesliga,3,FALSE)</f>
        <v>Do</v>
      </c>
      <c r="C19" s="19">
        <f>VLOOKUP(9,Landesliga,4,FALSE)</f>
        <v>0.8333333333333334</v>
      </c>
      <c r="D19" t="str">
        <f>VLOOKUP(9,Landesliga,2,FALSE)</f>
        <v>SG Merchweiler/TV Limbach</v>
      </c>
      <c r="E19" s="18" t="s">
        <v>35</v>
      </c>
      <c r="F19" t="str">
        <f>VLOOKUP(3,Landesliga,2,FALSE)</f>
        <v>TTC Wallerfangen </v>
      </c>
      <c r="G19" s="17">
        <f>IF(H19="Mo",Spieltage!$F$13,IF(H19="Di",Spieltage!$F$14,IF(H19="Mi",Spieltage!$F$15,IF(H19="Do",Spieltage!$F$16,IF(H19="Fr",Spieltage!$F$17,"")))))</f>
        <v>41661</v>
      </c>
      <c r="H19" t="str">
        <f>VLOOKUP(3,Landesliga,3,FALSE)</f>
        <v>Mi</v>
      </c>
      <c r="I19" s="19">
        <f>VLOOKUP(3,Landesliga,4,FALSE)</f>
        <v>0.8125</v>
      </c>
    </row>
    <row r="20" spans="1:9" ht="12.75">
      <c r="A20" s="17" t="e">
        <f>IF(B20="Mo",Spieltage!$B$13,IF(B20="Di",Spieltage!$B$14,IF(B20="Mi",Spieltage!$B$15,IF(B20="Do",Spieltage!$B$16,IF(B20="Fr",Spieltage!$B$17,"")))))</f>
        <v>#N/A</v>
      </c>
      <c r="B20" t="e">
        <f>VLOOKUP(11,Landesliga,3,FALSE)</f>
        <v>#N/A</v>
      </c>
      <c r="C20" s="19" t="e">
        <f>VLOOKUP(11,Landesliga,4,FALSE)</f>
        <v>#N/A</v>
      </c>
      <c r="D20" t="e">
        <f>VLOOKUP(11,Landesliga,2,FALSE)</f>
        <v>#N/A</v>
      </c>
      <c r="E20" s="18" t="s">
        <v>35</v>
      </c>
      <c r="F20" t="str">
        <f>VLOOKUP(2,Landesliga,2,FALSE)</f>
        <v>TTC Saarwellingen </v>
      </c>
      <c r="G20" s="17">
        <f>IF(H20="Mo",Spieltage!$F$13,IF(H20="Di",Spieltage!$F$14,IF(H20="Mi",Spieltage!$F$15,IF(H20="Do",Spieltage!$F$16,IF(H20="Fr",Spieltage!$F$17,"")))))</f>
        <v>41660</v>
      </c>
      <c r="H20" t="str">
        <f>VLOOKUP(2,Landesliga,3,FALSE)</f>
        <v>Di</v>
      </c>
      <c r="I20" s="19" t="str">
        <f>VLOOKUP(2,Landesliga,4,FALSE)</f>
        <v>20.00</v>
      </c>
    </row>
    <row r="21" ht="12.75">
      <c r="E21" s="18"/>
    </row>
    <row r="22" spans="1:9" ht="12.75">
      <c r="A22" s="17">
        <f>IF(B22="Mo",Spieltage!$B$18,IF(B22="Di",Spieltage!$B$19,IF(B22="Mi",Spieltage!$B$20,IF(B22="Do",Spieltage!$B$21,IF(B22="Fr",Spieltage!$B$22,"")))))</f>
        <v>41541</v>
      </c>
      <c r="B22" t="str">
        <f>VLOOKUP(2,Landesliga,3,FALSE)</f>
        <v>Di</v>
      </c>
      <c r="C22" s="19" t="str">
        <f>VLOOKUP(2,Landesliga,4,FALSE)</f>
        <v>20.00</v>
      </c>
      <c r="D22" t="str">
        <f>VLOOKUP(2,Landesliga,2,FALSE)</f>
        <v>TTC Saarwellingen </v>
      </c>
      <c r="E22" s="18" t="s">
        <v>35</v>
      </c>
      <c r="F22" t="str">
        <f>VLOOKUP(1,Landesliga,2,FALSE)</f>
        <v>TTV Hasborn </v>
      </c>
      <c r="G22" s="17">
        <f>IF(H22="Mo",Spieltage!$F$18,IF(H22="Di",Spieltage!$F$19,IF(H22="Mi",Spieltage!$F$20,IF(H22="Do",Spieltage!$F$21,IF(H22="Fr",Spieltage!$F$22,"")))))</f>
        <v>41670</v>
      </c>
      <c r="H22" t="str">
        <f>VLOOKUP(1,Landesliga,3,FALSE)</f>
        <v>Fr</v>
      </c>
      <c r="I22" s="19">
        <f>VLOOKUP(1,Landesliga,4,FALSE)</f>
        <v>0.7916666666666666</v>
      </c>
    </row>
    <row r="23" spans="1:9" ht="12.75">
      <c r="A23" s="17">
        <f>IF(B23="Mo",Spieltage!$B$18,IF(B23="Di",Spieltage!$B$19,IF(B23="Mi",Spieltage!$B$20,IF(B23="Do",Spieltage!$B$21,IF(B23="Fr",Spieltage!$B$22,"")))))</f>
        <v>41542</v>
      </c>
      <c r="B23" t="str">
        <f>VLOOKUP(3,Landesliga,3,FALSE)</f>
        <v>Mi</v>
      </c>
      <c r="C23" s="19">
        <f>VLOOKUP(3,Landesliga,4,FALSE)</f>
        <v>0.8125</v>
      </c>
      <c r="D23" t="str">
        <f>VLOOKUP(3,Landesliga,2,FALSE)</f>
        <v>TTC Wallerfangen </v>
      </c>
      <c r="E23" s="18" t="s">
        <v>35</v>
      </c>
      <c r="F23" t="e">
        <f>VLOOKUP(11,Landesliga,2,FALSE)</f>
        <v>#N/A</v>
      </c>
      <c r="G23" s="17" t="e">
        <f>IF(H23="Mo",Spieltage!$F$18,IF(H23="Di",Spieltage!$F$19,IF(H23="Mi",Spieltage!$F$20,IF(H23="Do",Spieltage!$F$21,IF(H23="Fr",Spieltage!$F$22,"")))))</f>
        <v>#N/A</v>
      </c>
      <c r="H23" t="e">
        <f>VLOOKUP(11,Landesliga,3,FALSE)</f>
        <v>#N/A</v>
      </c>
      <c r="I23" s="19" t="e">
        <f>VLOOKUP(11,Landesliga,4,FALSE)</f>
        <v>#N/A</v>
      </c>
    </row>
    <row r="24" spans="1:9" ht="12.75">
      <c r="A24" s="17">
        <f>IF(B24="Mo",Spieltage!$B$18,IF(B24="Di",Spieltage!$B$19,IF(B24="Mi",Spieltage!$B$20,IF(B24="Do",Spieltage!$B$21,IF(B24="Fr",Spieltage!$B$22,"")))))</f>
        <v>41543</v>
      </c>
      <c r="B24" t="str">
        <f>VLOOKUP(4,Landesliga,3,FALSE)</f>
        <v>Do</v>
      </c>
      <c r="C24" s="19">
        <f>VLOOKUP(4,Landesliga,4,FALSE)</f>
        <v>0.84375</v>
      </c>
      <c r="D24" t="str">
        <f>VLOOKUP(4,Landesliga,2,FALSE)</f>
        <v>MTTC Namborn</v>
      </c>
      <c r="E24" s="18" t="s">
        <v>35</v>
      </c>
      <c r="F24" t="str">
        <f>VLOOKUP(9,Landesliga,2,FALSE)</f>
        <v>SG Merchweiler/TV Limbach</v>
      </c>
      <c r="G24" s="17">
        <f>IF(H24="Mo",Spieltage!$F$18,IF(H24="Di",Spieltage!$F$19,IF(H24="Mi",Spieltage!$F$20,IF(H24="Do",Spieltage!$F$21,IF(H24="Fr",Spieltage!$F$22,"")))))</f>
        <v>41669</v>
      </c>
      <c r="H24" t="str">
        <f>VLOOKUP(9,Landesliga,3,FALSE)</f>
        <v>Do</v>
      </c>
      <c r="I24" s="19">
        <f>VLOOKUP(9,Landesliga,4,FALSE)</f>
        <v>0.8333333333333334</v>
      </c>
    </row>
    <row r="25" spans="1:9" ht="12.75">
      <c r="A25" s="17">
        <f>IF(B25="Mo",Spieltage!$B$18,IF(B25="Di",Spieltage!$B$19,IF(B25="Mi",Spieltage!$B$20,IF(B25="Do",Spieltage!$B$21,IF(B25="Fr",Spieltage!$B$22,"")))))</f>
        <v>41544</v>
      </c>
      <c r="B25" t="str">
        <f>VLOOKUP(5,Landesliga,3,FALSE)</f>
        <v>Fr</v>
      </c>
      <c r="C25" s="19">
        <f>VLOOKUP(5,Landesliga,4,FALSE)</f>
        <v>0.8125</v>
      </c>
      <c r="D25" t="str">
        <f>VLOOKUP(5,Landesliga,2,FALSE)</f>
        <v>TTF Eppelborn </v>
      </c>
      <c r="E25" s="18" t="s">
        <v>35</v>
      </c>
      <c r="F25" t="str">
        <f>VLOOKUP(6,Landesliga,2,FALSE)</f>
        <v>TTC Dörsdorf   </v>
      </c>
      <c r="G25" s="17">
        <f>IF(H25="Mo",Spieltage!$F$18,IF(H25="Di",Spieltage!$F$19,IF(H25="Mi",Spieltage!$F$20,IF(H25="Do",Spieltage!$F$21,IF(H25="Fr",Spieltage!$F$22,"")))))</f>
        <v>41667</v>
      </c>
      <c r="H25" t="str">
        <f>VLOOKUP(6,Landesliga,3,FALSE)</f>
        <v>Di</v>
      </c>
      <c r="I25" s="19">
        <f>VLOOKUP(6,Landesliga,4,FALSE)</f>
        <v>0.7916666666666666</v>
      </c>
    </row>
    <row r="26" spans="1:9" ht="12.75">
      <c r="A26" s="17">
        <f>IF(B26="Mo",Spieltage!$B$18,IF(B26="Di",Spieltage!$B$19,IF(B26="Mi",Spieltage!$B$20,IF(B26="Do",Spieltage!$B$21,IF(B26="Fr",Spieltage!$B$22,"")))))</f>
        <v>41544</v>
      </c>
      <c r="B26" t="str">
        <f>VLOOKUP(10,Landesliga,3,FALSE)</f>
        <v>Fr</v>
      </c>
      <c r="C26" s="19">
        <f>VLOOKUP(10,Landesliga,4,FALSE)</f>
        <v>0.8333333333333334</v>
      </c>
      <c r="D26" t="str">
        <f>VLOOKUP(10,Landesliga,2,FALSE)</f>
        <v>ATSV Saarbrücken</v>
      </c>
      <c r="E26" s="18" t="s">
        <v>35</v>
      </c>
      <c r="F26" t="str">
        <f>VLOOKUP(8,Landesliga,2,FALSE)</f>
        <v>TTC Püttlingen </v>
      </c>
      <c r="G26" s="17">
        <f>IF(H26="Mo",Spieltage!$F$18,IF(H26="Di",Spieltage!$F$19,IF(H26="Mi",Spieltage!$F$20,IF(H26="Do",Spieltage!$F$21,IF(H26="Fr",Spieltage!$F$22,"")))))</f>
        <v>41667</v>
      </c>
      <c r="H26" t="str">
        <f>VLOOKUP(8,Landesliga,3,FALSE)</f>
        <v>Di</v>
      </c>
      <c r="I26" s="19">
        <f>VLOOKUP(8,Landesliga,4,FALSE)</f>
        <v>0.8125</v>
      </c>
    </row>
    <row r="27" spans="1:9" ht="12.75">
      <c r="A27" s="17" t="e">
        <f>IF(B27="Mo",Spieltage!$B$18,IF(B27="Di",Spieltage!$B$19,IF(B27="Mi",Spieltage!$B$20,IF(B27="Do",Spieltage!$B$21,IF(B27="Fr",Spieltage!$B$22,"")))))</f>
        <v>#N/A</v>
      </c>
      <c r="B27" t="e">
        <f>VLOOKUP(12,Landesliga,3,FALSE)</f>
        <v>#N/A</v>
      </c>
      <c r="C27" s="19" t="e">
        <f>VLOOKUP(12,Landesliga,4,FALSE)</f>
        <v>#N/A</v>
      </c>
      <c r="D27" t="e">
        <f>VLOOKUP(12,Landesliga,2,FALSE)</f>
        <v>#N/A</v>
      </c>
      <c r="E27" s="18" t="s">
        <v>35</v>
      </c>
      <c r="F27" t="str">
        <f>VLOOKUP(7,Landesliga,2,FALSE)</f>
        <v>TTC Ensdorf</v>
      </c>
      <c r="G27" s="17">
        <f>IF(H27="Mo",Spieltage!$F$18,IF(H27="Di",Spieltage!$F$19,IF(H27="Mi",Spieltage!$F$20,IF(H27="Do",Spieltage!$F$21,IF(H27="Fr",Spieltage!$F$22,"")))))</f>
        <v>41669</v>
      </c>
      <c r="H27" t="str">
        <f>VLOOKUP(7,Landesliga,3,FALSE)</f>
        <v>Do</v>
      </c>
      <c r="I27" s="19">
        <f>VLOOKUP(7,Landesliga,4,FALSE)</f>
        <v>0.8125</v>
      </c>
    </row>
    <row r="29" spans="1:9" ht="12.75">
      <c r="A29" s="17">
        <f>IF(B29="Mo",Spieltage!$B$23,IF(B29="Di",Spieltage!$B$24,IF(B29="Mi",Spieltage!$B$25,IF(B29="Do",Spieltage!$B$26,IF(B29="Fr",Spieltage!$B$27,"")))))</f>
        <v>41558</v>
      </c>
      <c r="B29" t="str">
        <f>VLOOKUP(1,Landesliga,3,FALSE)</f>
        <v>Fr</v>
      </c>
      <c r="C29" s="19">
        <f>VLOOKUP(1,Landesliga,4,FALSE)</f>
        <v>0.7916666666666666</v>
      </c>
      <c r="D29" t="str">
        <f>VLOOKUP(1,Landesliga,2,FALSE)</f>
        <v>TTV Hasborn </v>
      </c>
      <c r="E29" s="18" t="s">
        <v>35</v>
      </c>
      <c r="F29" t="e">
        <f>VLOOKUP(12,Landesliga,2,FALSE)</f>
        <v>#N/A</v>
      </c>
      <c r="G29" s="17" t="e">
        <f>IF(H29="Mo",Spieltage!$F$23,IF(H29="Di",Spieltage!$F$24,IF(H29="Mi",Spieltage!$F$25,IF(H29="Do",Spieltage!$F$26,IF(H29="Fr",Spieltage!$F$27,"")))))</f>
        <v>#N/A</v>
      </c>
      <c r="H29" t="e">
        <f>VLOOKUP(12,Landesliga,3,FALSE)</f>
        <v>#N/A</v>
      </c>
      <c r="I29" s="19" t="e">
        <f>VLOOKUP(12,Landesliga,4,FALSE)</f>
        <v>#N/A</v>
      </c>
    </row>
    <row r="30" spans="1:9" ht="12.75">
      <c r="A30" s="17">
        <f>IF(B30="Mo",Spieltage!$B$23,IF(B30="Di",Spieltage!$B$24,IF(B30="Mi",Spieltage!$B$25,IF(B30="Do",Spieltage!$B$26,IF(B30="Fr",Spieltage!$B$27,"")))))</f>
        <v>41555</v>
      </c>
      <c r="B30" t="str">
        <f>VLOOKUP(2,Landesliga,3,FALSE)</f>
        <v>Di</v>
      </c>
      <c r="C30" s="19" t="str">
        <f>VLOOKUP(2,Landesliga,4,FALSE)</f>
        <v>20.00</v>
      </c>
      <c r="D30" t="str">
        <f>VLOOKUP(2,Landesliga,2,FALSE)</f>
        <v>TTC Saarwellingen </v>
      </c>
      <c r="E30" s="18" t="s">
        <v>35</v>
      </c>
      <c r="F30" t="str">
        <f>VLOOKUP(3,Landesliga,2,FALSE)</f>
        <v>TTC Wallerfangen </v>
      </c>
      <c r="G30" s="17">
        <f>IF(H30="Mo",Spieltage!$F$23,IF(H30="Di",Spieltage!$F$24,IF(H30="Mi",Spieltage!$F$25,IF(H30="Do",Spieltage!$F$26,IF(H30="Fr",Spieltage!$F$27,"")))))</f>
        <v>41675</v>
      </c>
      <c r="H30" t="str">
        <f>VLOOKUP(3,Landesliga,3,FALSE)</f>
        <v>Mi</v>
      </c>
      <c r="I30" s="19">
        <f>VLOOKUP(3,Landesliga,4,FALSE)</f>
        <v>0.8125</v>
      </c>
    </row>
    <row r="31" spans="1:9" ht="12.75">
      <c r="A31" s="17">
        <f>IF(B31="Mo",Spieltage!$B$23,IF(B31="Di",Spieltage!$B$24,IF(B31="Mi",Spieltage!$B$25,IF(B31="Do",Spieltage!$B$26,IF(B31="Fr",Spieltage!$B$27,"")))))</f>
        <v>41557</v>
      </c>
      <c r="B31" t="str">
        <f>VLOOKUP(7,Landesliga,3,FALSE)</f>
        <v>Do</v>
      </c>
      <c r="C31" s="19">
        <f>VLOOKUP(7,Landesliga,4,FALSE)</f>
        <v>0.8125</v>
      </c>
      <c r="D31" t="str">
        <f>VLOOKUP(7,Landesliga,2,FALSE)</f>
        <v>TTC Ensdorf</v>
      </c>
      <c r="E31" s="18" t="s">
        <v>35</v>
      </c>
      <c r="F31" t="str">
        <f>VLOOKUP(6,Landesliga,2,FALSE)</f>
        <v>TTC Dörsdorf   </v>
      </c>
      <c r="G31" s="17">
        <f>IF(H31="Mo",Spieltage!$F$23,IF(H31="Di",Spieltage!$F$24,IF(H31="Mi",Spieltage!$F$25,IF(H31="Do",Spieltage!$F$26,IF(H31="Fr",Spieltage!$F$27,"")))))</f>
        <v>41674</v>
      </c>
      <c r="H31" t="str">
        <f>VLOOKUP(6,Landesliga,3,FALSE)</f>
        <v>Di</v>
      </c>
      <c r="I31" s="19">
        <f>VLOOKUP(6,Landesliga,4,FALSE)</f>
        <v>0.7916666666666666</v>
      </c>
    </row>
    <row r="32" spans="1:9" ht="12.75">
      <c r="A32" s="17">
        <f>IF(B32="Mo",Spieltage!$B$23,IF(B32="Di",Spieltage!$B$24,IF(B32="Mi",Spieltage!$B$25,IF(B32="Do",Spieltage!$B$26,IF(B32="Fr",Spieltage!$B$27,"")))))</f>
        <v>41555</v>
      </c>
      <c r="B32" t="str">
        <f>VLOOKUP(8,Landesliga,3,FALSE)</f>
        <v>Di</v>
      </c>
      <c r="C32" s="19">
        <f>VLOOKUP(8,Landesliga,4,FALSE)</f>
        <v>0.8125</v>
      </c>
      <c r="D32" t="str">
        <f>VLOOKUP(8,Landesliga,2,FALSE)</f>
        <v>TTC Püttlingen </v>
      </c>
      <c r="E32" s="18" t="s">
        <v>35</v>
      </c>
      <c r="F32" t="str">
        <f>VLOOKUP(4,Landesliga,2,FALSE)</f>
        <v>MTTC Namborn</v>
      </c>
      <c r="G32" s="17">
        <f>IF(H32="Mo",Spieltage!$F$23,IF(H32="Di",Spieltage!$F$24,IF(H32="Mi",Spieltage!$F$25,IF(H32="Do",Spieltage!$F$26,IF(H32="Fr",Spieltage!$F$27,"")))))</f>
        <v>41676</v>
      </c>
      <c r="H32" t="str">
        <f>VLOOKUP(4,Landesliga,3,FALSE)</f>
        <v>Do</v>
      </c>
      <c r="I32" s="19">
        <f>VLOOKUP(4,Landesliga,4,FALSE)</f>
        <v>0.84375</v>
      </c>
    </row>
    <row r="33" spans="1:9" ht="12.75">
      <c r="A33" s="17">
        <f>IF(B33="Mo",Spieltage!$B$23,IF(B33="Di",Spieltage!$B$24,IF(B33="Mi",Spieltage!$B$25,IF(B33="Do",Spieltage!$B$26,IF(B33="Fr",Spieltage!$B$27,"")))))</f>
        <v>41557</v>
      </c>
      <c r="B33" t="str">
        <f>VLOOKUP(9,Landesliga,3,FALSE)</f>
        <v>Do</v>
      </c>
      <c r="C33" s="19">
        <f>VLOOKUP(9,Landesliga,4,FALSE)</f>
        <v>0.8333333333333334</v>
      </c>
      <c r="D33" t="str">
        <f>VLOOKUP(9,Landesliga,2,FALSE)</f>
        <v>SG Merchweiler/TV Limbach</v>
      </c>
      <c r="E33" s="18" t="s">
        <v>35</v>
      </c>
      <c r="F33" t="str">
        <f>VLOOKUP(10,Landesliga,2,FALSE)</f>
        <v>ATSV Saarbrücken</v>
      </c>
      <c r="G33" s="17">
        <f>IF(H33="Mo",Spieltage!$F$23,IF(H33="Di",Spieltage!$F$24,IF(H33="Mi",Spieltage!$F$25,IF(H33="Do",Spieltage!$F$26,IF(H33="Fr",Spieltage!$F$27,"")))))</f>
        <v>41677</v>
      </c>
      <c r="H33" t="str">
        <f>VLOOKUP(10,Landesliga,3,FALSE)</f>
        <v>Fr</v>
      </c>
      <c r="I33" s="19">
        <f>VLOOKUP(10,Landesliga,4,FALSE)</f>
        <v>0.8333333333333334</v>
      </c>
    </row>
    <row r="34" spans="1:9" ht="12.75">
      <c r="A34" s="17" t="e">
        <f>IF(B34="Mo",Spieltage!$B$23,IF(B34="Di",Spieltage!$B$24,IF(B34="Mi",Spieltage!$B$25,IF(B34="Do",Spieltage!$B$26,IF(B34="Fr",Spieltage!$B$27,"")))))</f>
        <v>#N/A</v>
      </c>
      <c r="B34" t="e">
        <f>VLOOKUP(11,Landesliga,3,FALSE)</f>
        <v>#N/A</v>
      </c>
      <c r="C34" s="19" t="e">
        <f>VLOOKUP(11,Landesliga,4,FALSE)</f>
        <v>#N/A</v>
      </c>
      <c r="D34" t="e">
        <f>VLOOKUP(11,Landesliga,2,FALSE)</f>
        <v>#N/A</v>
      </c>
      <c r="E34" s="18" t="s">
        <v>35</v>
      </c>
      <c r="F34" t="str">
        <f>VLOOKUP(5,Landesliga,2,FALSE)</f>
        <v>TTF Eppelborn </v>
      </c>
      <c r="G34" s="17">
        <f>IF(H34="Mo",Spieltage!$F$23,IF(H34="Di",Spieltage!$F$24,IF(H34="Mi",Spieltage!$F$25,IF(H34="Do",Spieltage!$F$26,IF(H34="Fr",Spieltage!$F$27,"")))))</f>
        <v>41677</v>
      </c>
      <c r="H34" t="str">
        <f>VLOOKUP(5,Landesliga,3,FALSE)</f>
        <v>Fr</v>
      </c>
      <c r="I34" s="19">
        <f>VLOOKUP(5,Landesliga,4,FALSE)</f>
        <v>0.8125</v>
      </c>
    </row>
    <row r="36" spans="1:9" ht="12.75">
      <c r="A36" s="17">
        <f>IF(B36="Mo",Spieltage!$B$28,IF(B36="Di",Spieltage!$B$29,IF(B36="Mi",Spieltage!$B$30,IF(B36="Do",Spieltage!$B$31,IF(B36="Fr",Spieltage!$B$32,"")))))</f>
        <v>41563</v>
      </c>
      <c r="B36" t="str">
        <f>VLOOKUP(3,Landesliga,3,FALSE)</f>
        <v>Mi</v>
      </c>
      <c r="C36" s="19">
        <f>VLOOKUP(3,Landesliga,4,FALSE)</f>
        <v>0.8125</v>
      </c>
      <c r="D36" t="str">
        <f>VLOOKUP(3,Landesliga,2,FALSE)</f>
        <v>TTC Wallerfangen </v>
      </c>
      <c r="E36" s="18" t="s">
        <v>35</v>
      </c>
      <c r="F36" t="str">
        <f>VLOOKUP(1,Landesliga,2,FALSE)</f>
        <v>TTV Hasborn </v>
      </c>
      <c r="G36" s="17">
        <f>IF(H36="Mo",Spieltage!$F$28,IF(H36="Di",Spieltage!$F$29,IF(H36="Mi",Spieltage!$F$30,IF(H36="Do",Spieltage!$F$31,IF(H36="Fr",Spieltage!$F$32,"")))))</f>
        <v>41684</v>
      </c>
      <c r="H36" t="str">
        <f>VLOOKUP(1,Landesliga,3,FALSE)</f>
        <v>Fr</v>
      </c>
      <c r="I36" s="19">
        <f>VLOOKUP(1,Landesliga,4,FALSE)</f>
        <v>0.7916666666666666</v>
      </c>
    </row>
    <row r="37" spans="1:9" ht="12.75">
      <c r="A37" s="17">
        <f>IF(B37="Mo",Spieltage!$B$28,IF(B37="Di",Spieltage!$B$29,IF(B37="Mi",Spieltage!$B$30,IF(B37="Do",Spieltage!$B$31,IF(B37="Fr",Spieltage!$B$32,"")))))</f>
        <v>41564</v>
      </c>
      <c r="B37" t="str">
        <f>VLOOKUP(4,Landesliga,3,FALSE)</f>
        <v>Do</v>
      </c>
      <c r="C37" s="19">
        <f>VLOOKUP(4,Landesliga,4,FALSE)</f>
        <v>0.84375</v>
      </c>
      <c r="D37" t="str">
        <f>VLOOKUP(4,Landesliga,2,FALSE)</f>
        <v>MTTC Namborn</v>
      </c>
      <c r="E37" s="18" t="s">
        <v>35</v>
      </c>
      <c r="F37" t="str">
        <f>VLOOKUP(2,Landesliga,2,FALSE)</f>
        <v>TTC Saarwellingen </v>
      </c>
      <c r="G37" s="17">
        <f>IF(H37="Mo",Spieltage!$F$28,IF(H37="Di",Spieltage!$F$29,IF(H37="Mi",Spieltage!$F$30,IF(H37="Do",Spieltage!$F$31,IF(H37="Fr",Spieltage!$F$32,"")))))</f>
        <v>41681</v>
      </c>
      <c r="H37" t="str">
        <f>VLOOKUP(2,Landesliga,3,FALSE)</f>
        <v>Di</v>
      </c>
      <c r="I37" s="19" t="str">
        <f>VLOOKUP(2,Landesliga,4,FALSE)</f>
        <v>20.00</v>
      </c>
    </row>
    <row r="38" spans="1:9" ht="12.75">
      <c r="A38" s="17">
        <f>IF(B38="Mo",Spieltage!$B$28,IF(B38="Di",Spieltage!$B$29,IF(B38="Mi",Spieltage!$B$30,IF(B38="Do",Spieltage!$B$31,IF(B38="Fr",Spieltage!$B$32,"")))))</f>
        <v>41565</v>
      </c>
      <c r="B38" t="str">
        <f>VLOOKUP(5,Landesliga,3,FALSE)</f>
        <v>Fr</v>
      </c>
      <c r="C38" s="19">
        <f>VLOOKUP(5,Landesliga,4,FALSE)</f>
        <v>0.8125</v>
      </c>
      <c r="D38" t="str">
        <f>VLOOKUP(5,Landesliga,2,FALSE)</f>
        <v>TTF Eppelborn </v>
      </c>
      <c r="E38" s="18" t="s">
        <v>35</v>
      </c>
      <c r="F38" t="str">
        <f>VLOOKUP(7,Landesliga,2,FALSE)</f>
        <v>TTC Ensdorf</v>
      </c>
      <c r="G38" s="17">
        <f>IF(H38="Mo",Spieltage!$F$28,IF(H38="Di",Spieltage!$F$29,IF(H38="Mi",Spieltage!$F$30,IF(H38="Do",Spieltage!$F$31,IF(H38="Fr",Spieltage!$F$32,"")))))</f>
        <v>41683</v>
      </c>
      <c r="H38" t="str">
        <f>VLOOKUP(7,Landesliga,3,FALSE)</f>
        <v>Do</v>
      </c>
      <c r="I38" s="19">
        <f>VLOOKUP(7,Landesliga,4,FALSE)</f>
        <v>0.8125</v>
      </c>
    </row>
    <row r="39" spans="1:9" ht="12.75">
      <c r="A39" s="17">
        <f>IF(B39="Mo",Spieltage!$B$28,IF(B39="Di",Spieltage!$B$29,IF(B39="Mi",Spieltage!$B$30,IF(B39="Do",Spieltage!$B$31,IF(B39="Fr",Spieltage!$B$32,"")))))</f>
        <v>41562</v>
      </c>
      <c r="B39" t="str">
        <f>VLOOKUP(6,Landesliga,3,FALSE)</f>
        <v>Di</v>
      </c>
      <c r="C39" s="19">
        <f>VLOOKUP(6,Landesliga,4,FALSE)</f>
        <v>0.7916666666666666</v>
      </c>
      <c r="D39" t="str">
        <f>VLOOKUP(6,Landesliga,2,FALSE)</f>
        <v>TTC Dörsdorf   </v>
      </c>
      <c r="E39" s="18" t="s">
        <v>35</v>
      </c>
      <c r="F39" t="str">
        <f>VLOOKUP(8,Landesliga,2,FALSE)</f>
        <v>TTC Püttlingen </v>
      </c>
      <c r="G39" s="17">
        <f>IF(H39="Mo",Spieltage!$F$28,IF(H39="Di",Spieltage!$F$29,IF(H39="Mi",Spieltage!$F$30,IF(H39="Do",Spieltage!$F$31,IF(H39="Fr",Spieltage!$F$32,"")))))</f>
        <v>41681</v>
      </c>
      <c r="H39" t="str">
        <f>VLOOKUP(8,Landesliga,3,FALSE)</f>
        <v>Di</v>
      </c>
      <c r="I39" s="19">
        <f>VLOOKUP(8,Landesliga,4,FALSE)</f>
        <v>0.8125</v>
      </c>
    </row>
    <row r="40" spans="1:9" ht="12.75">
      <c r="A40" s="17">
        <f>IF(B40="Mo",Spieltage!$B$28,IF(B40="Di",Spieltage!$B$29,IF(B40="Mi",Spieltage!$B$30,IF(B40="Do",Spieltage!$B$31,IF(B40="Fr",Spieltage!$B$32,"")))))</f>
        <v>41565</v>
      </c>
      <c r="B40" t="str">
        <f>VLOOKUP(10,Landesliga,3,FALSE)</f>
        <v>Fr</v>
      </c>
      <c r="C40" s="19">
        <f>VLOOKUP(10,Landesliga,4,FALSE)</f>
        <v>0.8333333333333334</v>
      </c>
      <c r="D40" t="str">
        <f>VLOOKUP(10,Landesliga,2,FALSE)</f>
        <v>ATSV Saarbrücken</v>
      </c>
      <c r="E40" s="18" t="s">
        <v>35</v>
      </c>
      <c r="F40" t="e">
        <f>VLOOKUP(11,Landesliga,2,FALSE)</f>
        <v>#N/A</v>
      </c>
      <c r="G40" s="17" t="e">
        <f>IF(H40="Mo",Spieltage!$F$28,IF(H40="Di",Spieltage!$F$29,IF(H40="Mi",Spieltage!$F$30,IF(H40="Do",Spieltage!$F$31,IF(H40="Fr",Spieltage!$F$32,"")))))</f>
        <v>#N/A</v>
      </c>
      <c r="H40" t="e">
        <f>VLOOKUP(11,Landesliga,3,FALSE)</f>
        <v>#N/A</v>
      </c>
      <c r="I40" s="19" t="e">
        <f>VLOOKUP(11,Landesliga,4,FALSE)</f>
        <v>#N/A</v>
      </c>
    </row>
    <row r="41" spans="1:9" ht="12.75">
      <c r="A41" s="17" t="e">
        <f>IF(B41="Mo",Spieltage!$B$28,IF(B41="Di",Spieltage!$B$29,IF(B41="Mi",Spieltage!$B35,IF(B41="Do",Spieltage!$B$31,IF(B41="Fr",Spieltage!$B$32,"")))))</f>
        <v>#N/A</v>
      </c>
      <c r="B41" t="e">
        <f>VLOOKUP(12,Landesliga,3,FALSE)</f>
        <v>#N/A</v>
      </c>
      <c r="C41" s="19" t="e">
        <f>VLOOKUP(12,Landesliga,4,FALSE)</f>
        <v>#N/A</v>
      </c>
      <c r="D41" t="e">
        <f>VLOOKUP(12,Landesliga,2,FALSE)</f>
        <v>#N/A</v>
      </c>
      <c r="E41" s="18" t="s">
        <v>35</v>
      </c>
      <c r="F41" t="str">
        <f>VLOOKUP(9,Landesliga,2,FALSE)</f>
        <v>SG Merchweiler/TV Limbach</v>
      </c>
      <c r="G41" s="17">
        <f>IF(H41="Mo",Spieltage!$F$28,IF(H41="Di",Spieltage!$F$29,IF(H41="Mi",Spieltage!$F$30,IF(H41="Do",Spieltage!$F$31,IF(H41="Fr",Spieltage!$F$32,"")))))</f>
        <v>41683</v>
      </c>
      <c r="H41" t="str">
        <f>VLOOKUP(9,Landesliga,3,FALSE)</f>
        <v>Do</v>
      </c>
      <c r="I41" s="19">
        <f>VLOOKUP(9,Landesliga,4,FALSE)</f>
        <v>0.8333333333333334</v>
      </c>
    </row>
    <row r="42" ht="12.75">
      <c r="C42" s="19"/>
    </row>
    <row r="43" spans="1:9" ht="12.75">
      <c r="A43" s="17">
        <f>IF(B43="Mo",Spieltage!$B$33,IF(B43="Di",Spieltage!$B$34,IF(B43="Mi",Spieltage!$B$35,IF(B43="Do",Spieltage!$B$36,IF(B43="Fr",Spieltage!$B$37,"")))))</f>
        <v>41586</v>
      </c>
      <c r="B43" t="str">
        <f>VLOOKUP(1,Landesliga,3,FALSE)</f>
        <v>Fr</v>
      </c>
      <c r="C43" s="19">
        <f>VLOOKUP(1,Landesliga,4,FALSE)</f>
        <v>0.7916666666666666</v>
      </c>
      <c r="D43" t="str">
        <f>VLOOKUP(1,Landesliga,2,FALSE)</f>
        <v>TTV Hasborn </v>
      </c>
      <c r="E43" s="18" t="s">
        <v>35</v>
      </c>
      <c r="F43" t="str">
        <f>VLOOKUP(5,Landesliga,2,FALSE)</f>
        <v>TTF Eppelborn </v>
      </c>
      <c r="G43" s="17">
        <f>IF(H43="Mo",Spieltage!$F$33,IF(H43="Di",Spieltage!$F$34,IF(H43="Mi",Spieltage!$F$35,IF(H43="Do",Spieltage!$F$36,IF(H43="Fr",Spieltage!$F$37,"")))))</f>
        <v>41691</v>
      </c>
      <c r="H43" t="str">
        <f>VLOOKUP(5,Landesliga,3,FALSE)</f>
        <v>Fr</v>
      </c>
      <c r="I43" s="19">
        <f>VLOOKUP(5,Landesliga,4,FALSE)</f>
        <v>0.8125</v>
      </c>
    </row>
    <row r="44" spans="1:9" ht="12.75">
      <c r="A44" s="17">
        <f>IF(B44="Mo",Spieltage!$B$33,IF(B44="Di",Spieltage!$B$34,IF(B44="Mi",Spieltage!$B$35,IF(B44="Do",Spieltage!$B$36,IF(B44="Fr",Spieltage!$B$37,"")))))</f>
        <v>41583</v>
      </c>
      <c r="B44" t="str">
        <f>VLOOKUP(2,Landesliga,3,FALSE)</f>
        <v>Di</v>
      </c>
      <c r="C44" s="19" t="str">
        <f>VLOOKUP(2,Landesliga,4,FALSE)</f>
        <v>20.00</v>
      </c>
      <c r="D44" t="str">
        <f>VLOOKUP(2,Landesliga,2,FALSE)</f>
        <v>TTC Saarwellingen </v>
      </c>
      <c r="E44" s="18" t="s">
        <v>35</v>
      </c>
      <c r="F44" t="str">
        <f>VLOOKUP(10,Landesliga,2,FALSE)</f>
        <v>ATSV Saarbrücken</v>
      </c>
      <c r="G44" s="17">
        <f>IF(H44="Mo",Spieltage!$F$33,IF(H44="Di",Spieltage!$F$34,IF(H44="Mi",Spieltage!$F$35,IF(H44="Do",Spieltage!$F$36,IF(H44="Fr",Spieltage!$F$37,"")))))</f>
        <v>41691</v>
      </c>
      <c r="H44" t="str">
        <f>VLOOKUP(10,Landesliga,3,FALSE)</f>
        <v>Fr</v>
      </c>
      <c r="I44" s="19">
        <f>VLOOKUP(10,Landesliga,4,FALSE)</f>
        <v>0.8333333333333334</v>
      </c>
    </row>
    <row r="45" spans="1:9" ht="12.75">
      <c r="A45" s="17">
        <f>IF(B45="Mo",Spieltage!$B$33,IF(B45="Di",Spieltage!$B$34,IF(B45="Mi",Spieltage!$B$35,IF(B45="Do",Spieltage!$B$36,IF(B45="Fr",Spieltage!$B$37,"")))))</f>
        <v>41584</v>
      </c>
      <c r="B45" t="str">
        <f>VLOOKUP(3,Landesliga,3,FALSE)</f>
        <v>Mi</v>
      </c>
      <c r="C45" s="19">
        <f>VLOOKUP(3,Landesliga,4,FALSE)</f>
        <v>0.8125</v>
      </c>
      <c r="D45" t="str">
        <f>VLOOKUP(3,Landesliga,2,FALSE)</f>
        <v>TTC Wallerfangen </v>
      </c>
      <c r="E45" s="18" t="s">
        <v>35</v>
      </c>
      <c r="F45" t="str">
        <f>VLOOKUP(4,Landesliga,2,FALSE)</f>
        <v>MTTC Namborn</v>
      </c>
      <c r="G45" s="17">
        <f>IF(H45="Mo",Spieltage!$F$33,IF(H45="Di",Spieltage!$F$34,IF(H45="Mi",Spieltage!$F$35,IF(H45="Do",Spieltage!$F$36,IF(H45="Fr",Spieltage!$F$37,"")))))</f>
        <v>41690</v>
      </c>
      <c r="H45" t="str">
        <f>VLOOKUP(4,Landesliga,3,FALSE)</f>
        <v>Do</v>
      </c>
      <c r="I45" s="19">
        <f>VLOOKUP(4,Landesliga,4,FALSE)</f>
        <v>0.84375</v>
      </c>
    </row>
    <row r="46" spans="1:9" ht="12.75">
      <c r="A46" s="17">
        <f>IF(B46="Mo",Spieltage!$B$33,IF(B46="Di",Spieltage!$B$34,IF(B46="Mi",Spieltage!$B$35,IF(B46="Do",Spieltage!$B$36,IF(B46="Fr",Spieltage!$B$37,"")))))</f>
        <v>41583</v>
      </c>
      <c r="B46" t="str">
        <f>VLOOKUP(8,Landesliga,3,FALSE)</f>
        <v>Di</v>
      </c>
      <c r="C46" s="19">
        <f>VLOOKUP(8,Landesliga,4,FALSE)</f>
        <v>0.8125</v>
      </c>
      <c r="D46" t="str">
        <f>VLOOKUP(8,Landesliga,2,FALSE)</f>
        <v>TTC Püttlingen </v>
      </c>
      <c r="E46" s="18" t="s">
        <v>35</v>
      </c>
      <c r="F46" t="str">
        <f>VLOOKUP(7,Landesliga,2,FALSE)</f>
        <v>TTC Ensdorf</v>
      </c>
      <c r="G46" s="17">
        <f>IF(H46="Mo",Spieltage!$F$33,IF(H46="Di",Spieltage!$F$34,IF(H46="Mi",Spieltage!$F$35,IF(H46="Do",Spieltage!$F$36,IF(H46="Fr",Spieltage!$F$37,"")))))</f>
        <v>41690</v>
      </c>
      <c r="H46" t="str">
        <f>VLOOKUP(7,Landesliga,3,FALSE)</f>
        <v>Do</v>
      </c>
      <c r="I46" s="19">
        <f>VLOOKUP(7,Landesliga,4,FALSE)</f>
        <v>0.8125</v>
      </c>
    </row>
    <row r="47" spans="1:9" ht="12.75">
      <c r="A47" s="17">
        <f>IF(B47="Mo",Spieltage!$B$33,IF(B47="Di",Spieltage!$B$34,IF(B47="Mi",Spieltage!$B$35,IF(B47="Do",Spieltage!$B$36,IF(B47="Fr",Spieltage!$B$37,"")))))</f>
        <v>41585</v>
      </c>
      <c r="B47" t="str">
        <f>VLOOKUP(9,Landesliga,3,FALSE)</f>
        <v>Do</v>
      </c>
      <c r="C47" s="19">
        <f>VLOOKUP(9,Landesliga,4,FALSE)</f>
        <v>0.8333333333333334</v>
      </c>
      <c r="D47" t="str">
        <f>VLOOKUP(9,Landesliga,2,FALSE)</f>
        <v>SG Merchweiler/TV Limbach</v>
      </c>
      <c r="E47" s="18" t="s">
        <v>35</v>
      </c>
      <c r="F47" t="str">
        <f>VLOOKUP(6,Landesliga,2,FALSE)</f>
        <v>TTC Dörsdorf   </v>
      </c>
      <c r="G47" s="17">
        <f>IF(H47="Mo",Spieltage!$F$33,IF(H47="Di",Spieltage!$F$34,IF(H47="Mi",Spieltage!$F$35,IF(H47="Do",Spieltage!$F$36,IF(H47="Fr",Spieltage!$F$37,"")))))</f>
        <v>41688</v>
      </c>
      <c r="H47" t="str">
        <f>VLOOKUP(6,Landesliga,3,FALSE)</f>
        <v>Di</v>
      </c>
      <c r="I47" s="19">
        <f>VLOOKUP(6,Landesliga,4,FALSE)</f>
        <v>0.7916666666666666</v>
      </c>
    </row>
    <row r="48" spans="1:9" ht="12.75">
      <c r="A48" s="17" t="e">
        <f>IF(B48="Mo",Spieltage!$B$33,IF(B48="Di",Spieltage!$B$34,IF(B48="Mi",Spieltage!$B$35,IF(B48="Do",Spieltage!$B$36,IF(B48="Fr",Spieltage!$B$37,"")))))</f>
        <v>#N/A</v>
      </c>
      <c r="B48" t="e">
        <f>VLOOKUP(11,Landesliga,3,FALSE)</f>
        <v>#N/A</v>
      </c>
      <c r="C48" s="19" t="e">
        <f>VLOOKUP(11,Landesliga,4,FALSE)</f>
        <v>#N/A</v>
      </c>
      <c r="D48" t="e">
        <f>VLOOKUP(11,Landesliga,2,FALSE)</f>
        <v>#N/A</v>
      </c>
      <c r="E48" s="18" t="s">
        <v>35</v>
      </c>
      <c r="F48" t="e">
        <f>VLOOKUP(12,Landesliga,2,FALSE)</f>
        <v>#N/A</v>
      </c>
      <c r="G48" s="17" t="e">
        <f>IF(H48="Mo",Spieltage!$F$33,IF(H48="Di",Spieltage!$F$34,IF(H48="Mi",Spieltage!$F$35,IF(H48="Do",Spieltage!$F$36,IF(H48="Fr",Spieltage!$F$37,"")))))</f>
        <v>#N/A</v>
      </c>
      <c r="H48" t="e">
        <f>VLOOKUP(12,Landesliga,3,FALSE)</f>
        <v>#N/A</v>
      </c>
      <c r="I48" s="19" t="e">
        <f>VLOOKUP(12,Landesliga,4,FALSE)</f>
        <v>#N/A</v>
      </c>
    </row>
    <row r="50" spans="1:9" ht="12.75">
      <c r="A50" s="17">
        <f>IF(B50="Mo",Spieltage!$B$38,IF(B50="Di",Spieltage!$B$39,IF(B50="Mi",Spieltage!$B$40,IF(B50="Do",Spieltage!$B$41,IF(B50="Fr",Spieltage!$B$42,"")))))</f>
        <v>41592</v>
      </c>
      <c r="B50" t="str">
        <f>VLOOKUP(4,Landesliga,3,FALSE)</f>
        <v>Do</v>
      </c>
      <c r="C50" s="19">
        <f>VLOOKUP(4,Landesliga,4,FALSE)</f>
        <v>0.84375</v>
      </c>
      <c r="D50" t="str">
        <f>VLOOKUP(4,Landesliga,2,FALSE)</f>
        <v>MTTC Namborn</v>
      </c>
      <c r="E50" s="18" t="s">
        <v>35</v>
      </c>
      <c r="F50" t="e">
        <f>VLOOKUP(11,Landesliga,2,FALSE)</f>
        <v>#N/A</v>
      </c>
      <c r="G50" s="17" t="e">
        <f>IF(H50="Mo",Spieltage!$F$38,IF(H50="Di",Spieltage!$F$39,IF(H50="Mi",Spieltage!$F$40,IF(H50="Do",Spieltage!$F$41,IF(H50="Fr",Spieltage!$F$42,"")))))</f>
        <v>#N/A</v>
      </c>
      <c r="H50" t="e">
        <f>VLOOKUP(11,Landesliga,3,FALSE)</f>
        <v>#N/A</v>
      </c>
      <c r="I50" s="19" t="e">
        <f>VLOOKUP(11,Landesliga,4,FALSE)</f>
        <v>#N/A</v>
      </c>
    </row>
    <row r="51" spans="1:9" ht="12.75">
      <c r="A51" s="17">
        <f>IF(B51="Mo",Spieltage!$B$38,IF(B51="Di",Spieltage!$B$39,IF(B51="Mi",Spieltage!$B$40,IF(B51="Do",Spieltage!$B$41,IF(B51="Fr",Spieltage!$B$42,"")))))</f>
        <v>41593</v>
      </c>
      <c r="B51" t="str">
        <f>VLOOKUP(5,Landesliga,3,FALSE)</f>
        <v>Fr</v>
      </c>
      <c r="C51" s="19">
        <f>VLOOKUP(5,Landesliga,4,FALSE)</f>
        <v>0.8125</v>
      </c>
      <c r="D51" t="str">
        <f>VLOOKUP(5,Landesliga,2,FALSE)</f>
        <v>TTF Eppelborn </v>
      </c>
      <c r="E51" s="18" t="s">
        <v>35</v>
      </c>
      <c r="F51" t="str">
        <f>VLOOKUP(2,Landesliga,2,FALSE)</f>
        <v>TTC Saarwellingen </v>
      </c>
      <c r="G51" s="17">
        <f>IF(H51="Mo",Spieltage!$F$38,IF(H51="Di",Spieltage!$F$39,IF(H51="Mi",Spieltage!$F$40,IF(H51="Do",Spieltage!$F$41,IF(H51="Fr",Spieltage!$F$42,"")))))</f>
        <v>41709</v>
      </c>
      <c r="H51" t="str">
        <f>VLOOKUP(2,Landesliga,3,FALSE)</f>
        <v>Di</v>
      </c>
      <c r="I51" s="19" t="str">
        <f>VLOOKUP(2,Landesliga,4,FALSE)</f>
        <v>20.00</v>
      </c>
    </row>
    <row r="52" spans="1:9" ht="12.75">
      <c r="A52" s="17">
        <f>IF(B52="Mo",Spieltage!$B$38,IF(B52="Di",Spieltage!$B$39,IF(B52="Mi",Spieltage!$B$40,IF(B52="Do",Spieltage!$B$41,IF(B52="Fr",Spieltage!$B$42,"")))))</f>
        <v>41590</v>
      </c>
      <c r="B52" t="str">
        <f>VLOOKUP(6,Landesliga,3,FALSE)</f>
        <v>Di</v>
      </c>
      <c r="C52" s="19">
        <f>VLOOKUP(6,Landesliga,4,FALSE)</f>
        <v>0.7916666666666666</v>
      </c>
      <c r="D52" t="str">
        <f>VLOOKUP(6,Landesliga,2,FALSE)</f>
        <v>TTC Dörsdorf   </v>
      </c>
      <c r="E52" s="18" t="s">
        <v>35</v>
      </c>
      <c r="F52" t="str">
        <f>VLOOKUP(1,Landesliga,2,FALSE)</f>
        <v>TTV Hasborn </v>
      </c>
      <c r="G52" s="17">
        <f>IF(H52="Mo",Spieltage!$F$38,IF(H52="Di",Spieltage!$F$39,IF(H52="Mi",Spieltage!$F$40,IF(H52="Do",Spieltage!$F$41,IF(H52="Fr",Spieltage!$F$42,"")))))</f>
        <v>41712</v>
      </c>
      <c r="H52" t="str">
        <f>VLOOKUP(1,Landesliga,3,FALSE)</f>
        <v>Fr</v>
      </c>
      <c r="I52" s="19">
        <f>VLOOKUP(1,Landesliga,4,FALSE)</f>
        <v>0.7916666666666666</v>
      </c>
    </row>
    <row r="53" spans="1:9" ht="12.75">
      <c r="A53" s="17">
        <f>IF(B53="Mo",Spieltage!$B$38,IF(B53="Di",Spieltage!$B$39,IF(B53="Mi",Spieltage!$B$40,IF(B53="Do",Spieltage!$B$41,IF(B53="Fr",Spieltage!$B$42,"")))))</f>
        <v>41592</v>
      </c>
      <c r="B53" t="str">
        <f>VLOOKUP(7,Landesliga,3,FALSE)</f>
        <v>Do</v>
      </c>
      <c r="C53" s="19">
        <f>VLOOKUP(7,Landesliga,4,FALSE)</f>
        <v>0.8125</v>
      </c>
      <c r="D53" t="str">
        <f>VLOOKUP(7,Landesliga,2,FALSE)</f>
        <v>TTC Ensdorf</v>
      </c>
      <c r="E53" s="18" t="s">
        <v>35</v>
      </c>
      <c r="F53" t="str">
        <f>VLOOKUP(9,Landesliga,2,FALSE)</f>
        <v>SG Merchweiler/TV Limbach</v>
      </c>
      <c r="G53" s="17">
        <f>IF(H53="Mo",Spieltage!$F$38,IF(H53="Di",Spieltage!$F$39,IF(H53="Mi",Spieltage!$F$40,IF(H53="Do",Spieltage!$F$41,IF(H53="Fr",Spieltage!$F$42,"")))))</f>
        <v>41711</v>
      </c>
      <c r="H53" t="str">
        <f>VLOOKUP(9,Landesliga,3,FALSE)</f>
        <v>Do</v>
      </c>
      <c r="I53" s="19">
        <f>VLOOKUP(9,Landesliga,4,FALSE)</f>
        <v>0.8333333333333334</v>
      </c>
    </row>
    <row r="54" spans="1:9" ht="12.75">
      <c r="A54" s="17">
        <f>IF(B54="Mo",Spieltage!$B$38,IF(B54="Di",Spieltage!$B$39,IF(B54="Mi",Spieltage!$B$40,IF(B54="Do",Spieltage!$B$41,IF(B54="Fr",Spieltage!$B$42,"")))))</f>
        <v>41593</v>
      </c>
      <c r="B54" t="str">
        <f>VLOOKUP(10,Landesliga,3,FALSE)</f>
        <v>Fr</v>
      </c>
      <c r="C54" s="19">
        <f>VLOOKUP(10,Landesliga,4,FALSE)</f>
        <v>0.8333333333333334</v>
      </c>
      <c r="D54" t="str">
        <f>VLOOKUP(10,Landesliga,2,FALSE)</f>
        <v>ATSV Saarbrücken</v>
      </c>
      <c r="E54" s="18" t="s">
        <v>35</v>
      </c>
      <c r="F54" t="str">
        <f>VLOOKUP(3,Landesliga,2,FALSE)</f>
        <v>TTC Wallerfangen </v>
      </c>
      <c r="G54" s="17">
        <f>IF(H54="Mo",Spieltage!$F$38,IF(H54="Di",Spieltage!$F$39,IF(H54="Mi",Spieltage!$F$40,IF(H54="Do",Spieltage!$F$41,IF(H54="Fr",Spieltage!$F$42,"")))))</f>
        <v>41710</v>
      </c>
      <c r="H54" t="str">
        <f>VLOOKUP(3,Landesliga,3,FALSE)</f>
        <v>Mi</v>
      </c>
      <c r="I54" s="19">
        <f>VLOOKUP(3,Landesliga,4,FALSE)</f>
        <v>0.8125</v>
      </c>
    </row>
    <row r="55" spans="1:9" ht="12.75">
      <c r="A55" s="17" t="e">
        <f>IF(B55="Mo",Spieltage!$B$38,IF(B55="Di",Spieltage!$B$39,IF(B55="Mi",Spieltage!$B$40,IF(B55="Do",Spieltage!$B$41,IF(B55="Fr",Spieltage!$B$42,"")))))</f>
        <v>#N/A</v>
      </c>
      <c r="B55" t="e">
        <f>VLOOKUP(12,Landesliga,3,FALSE)</f>
        <v>#N/A</v>
      </c>
      <c r="C55" s="19" t="e">
        <f>VLOOKUP(12,Landesliga,4,FALSE)</f>
        <v>#N/A</v>
      </c>
      <c r="D55" t="e">
        <f>VLOOKUP(12,Landesliga,2,FALSE)</f>
        <v>#N/A</v>
      </c>
      <c r="E55" s="18" t="s">
        <v>35</v>
      </c>
      <c r="F55" t="str">
        <f>VLOOKUP(8,Landesliga,2,FALSE)</f>
        <v>TTC Püttlingen </v>
      </c>
      <c r="G55" s="17">
        <f>IF(H55="Mo",Spieltage!$F$38,IF(H55="Di",Spieltage!$F$39,IF(H55="Mi",Spieltage!$F$40,IF(H55="Do",Spieltage!$F$41,IF(H55="Fr",Spieltage!$F$42,"")))))</f>
        <v>41709</v>
      </c>
      <c r="H55" t="str">
        <f>VLOOKUP(8,Landesliga,3,FALSE)</f>
        <v>Di</v>
      </c>
      <c r="I55" s="19">
        <f>VLOOKUP(8,Landesliga,4,FALSE)</f>
        <v>0.8125</v>
      </c>
    </row>
    <row r="57" spans="1:9" ht="12.75">
      <c r="A57" s="17">
        <f>IF(B57="Mo",Spieltage!$B$43,IF(B57="Di",Spieltage!$B$44,IF(B57="Mi",Spieltage!$B$45,IF(B57="Do",Spieltage!$B$46,IF(B57="Fr",Spieltage!$B$47,"")))))</f>
        <v>40876</v>
      </c>
      <c r="B57" t="str">
        <f>VLOOKUP(1,Landesliga,3,FALSE)</f>
        <v>Fr</v>
      </c>
      <c r="C57" s="19">
        <f>VLOOKUP(1,Landesliga,4,FALSE)</f>
        <v>0.7916666666666666</v>
      </c>
      <c r="D57" t="str">
        <f>VLOOKUP(1,Landesliga,2,FALSE)</f>
        <v>TTV Hasborn </v>
      </c>
      <c r="E57" s="18" t="s">
        <v>35</v>
      </c>
      <c r="F57" t="str">
        <f>VLOOKUP(7,Landesliga,2,FALSE)</f>
        <v>TTC Ensdorf</v>
      </c>
      <c r="G57" s="17">
        <f>IF(H57="Mo",Spieltage!$F$43,IF(H57="Di",Spieltage!$F$44,IF(H57="Mi",Spieltage!$F$45,IF(H57="Do",Spieltage!$F$46,IF(H57="Fr",Spieltage!$F$47,"")))))</f>
        <v>41725</v>
      </c>
      <c r="H57" t="str">
        <f>VLOOKUP(7,Landesliga,3,FALSE)</f>
        <v>Do</v>
      </c>
      <c r="I57" s="19">
        <f>VLOOKUP(7,Landesliga,4,FALSE)</f>
        <v>0.8125</v>
      </c>
    </row>
    <row r="58" spans="1:9" ht="12.75">
      <c r="A58" s="17">
        <f>IF(B58="Mo",Spieltage!$B$43,IF(B58="Di",Spieltage!$B$44,IF(B58="Mi",Spieltage!$B$45,IF(B58="Do",Spieltage!$B$46,IF(B58="Fr",Spieltage!$B$47,"")))))</f>
        <v>40873</v>
      </c>
      <c r="B58" t="str">
        <f>VLOOKUP(2,Landesliga,3,FALSE)</f>
        <v>Di</v>
      </c>
      <c r="C58" s="19" t="str">
        <f>VLOOKUP(2,Landesliga,4,FALSE)</f>
        <v>20.00</v>
      </c>
      <c r="D58" t="str">
        <f>VLOOKUP(2,Landesliga,2,FALSE)</f>
        <v>TTC Saarwellingen </v>
      </c>
      <c r="E58" s="18" t="s">
        <v>35</v>
      </c>
      <c r="F58" t="e">
        <f>VLOOKUP(12,Landesliga,2,FALSE)</f>
        <v>#N/A</v>
      </c>
      <c r="G58" s="17" t="e">
        <f>IF(H58="Mo",Spieltage!$F$43,IF(H58="Di",Spieltage!$F$44,IF(H58="Mi",Spieltage!$F$45,IF(H58="Do",Spieltage!$F$46,IF(H58="Fr",Spieltage!$F$47,"")))))</f>
        <v>#N/A</v>
      </c>
      <c r="H58" t="e">
        <f>VLOOKUP(12,Landesliga,3,FALSE)</f>
        <v>#N/A</v>
      </c>
      <c r="I58" s="19" t="e">
        <f>VLOOKUP(12,Landesliga,4,FALSE)</f>
        <v>#N/A</v>
      </c>
    </row>
    <row r="59" spans="1:9" ht="12.75">
      <c r="A59" s="17">
        <f>IF(B59="Mo",Spieltage!$B$43,IF(B59="Di",Spieltage!$B$44,IF(B59="Mi",Spieltage!$B$45,IF(B59="Do",Spieltage!$B$46,IF(B59="Fr",Spieltage!$B$47,"")))))</f>
        <v>40874</v>
      </c>
      <c r="B59" t="str">
        <f>VLOOKUP(3,Landesliga,3,FALSE)</f>
        <v>Mi</v>
      </c>
      <c r="C59" s="19">
        <f>VLOOKUP(3,Landesliga,4,FALSE)</f>
        <v>0.8125</v>
      </c>
      <c r="D59" t="str">
        <f>VLOOKUP(3,Landesliga,2,FALSE)</f>
        <v>TTC Wallerfangen </v>
      </c>
      <c r="E59" s="18" t="s">
        <v>35</v>
      </c>
      <c r="F59" t="str">
        <f>VLOOKUP(5,Landesliga,2,FALSE)</f>
        <v>TTF Eppelborn </v>
      </c>
      <c r="G59" s="17">
        <f>IF(H59="Mo",Spieltage!$F$43,IF(H59="Di",Spieltage!$F$44,IF(H59="Mi",Spieltage!$F$45,IF(H59="Do",Spieltage!$F$46,IF(H59="Fr",Spieltage!$F$47,"")))))</f>
        <v>41726</v>
      </c>
      <c r="H59" t="str">
        <f>VLOOKUP(5,Landesliga,3,FALSE)</f>
        <v>Fr</v>
      </c>
      <c r="I59" s="19">
        <f>VLOOKUP(5,Landesliga,4,FALSE)</f>
        <v>0.8125</v>
      </c>
    </row>
    <row r="60" spans="1:9" ht="12.75">
      <c r="A60" s="17">
        <f>IF(B60="Mo",Spieltage!$B$43,IF(B60="Di",Spieltage!$B$44,IF(B60="Mi",Spieltage!$B$45,IF(B60="Do",Spieltage!$B$46,IF(B60="Fr",Spieltage!$B$47,"")))))</f>
        <v>40875</v>
      </c>
      <c r="B60" t="str">
        <f>VLOOKUP(4,Landesliga,3,FALSE)</f>
        <v>Do</v>
      </c>
      <c r="C60" s="19">
        <f>VLOOKUP(4,Landesliga,4,FALSE)</f>
        <v>0.84375</v>
      </c>
      <c r="D60" t="str">
        <f>VLOOKUP(4,Landesliga,2,FALSE)</f>
        <v>MTTC Namborn</v>
      </c>
      <c r="E60" s="18" t="s">
        <v>35</v>
      </c>
      <c r="F60" t="str">
        <f>VLOOKUP(10,Landesliga,2,FALSE)</f>
        <v>ATSV Saarbrücken</v>
      </c>
      <c r="G60" s="17">
        <f>IF(H60="Mo",Spieltage!$F$43,IF(H60="Di",Spieltage!$F$44,IF(H60="Mi",Spieltage!$F$45,IF(H60="Do",Spieltage!$F$46,IF(H60="Fr",Spieltage!$F$47,"")))))</f>
        <v>41726</v>
      </c>
      <c r="H60" t="str">
        <f>VLOOKUP(10,Landesliga,3,FALSE)</f>
        <v>Fr</v>
      </c>
      <c r="I60" s="19">
        <f>VLOOKUP(10,Landesliga,4,FALSE)</f>
        <v>0.8333333333333334</v>
      </c>
    </row>
    <row r="61" spans="1:9" ht="12.75">
      <c r="A61" s="17">
        <f>IF(B61="Mo",Spieltage!$B$43,IF(B61="Di",Spieltage!$B$44,IF(B61="Mi",Spieltage!$B$45,IF(B61="Do",Spieltage!$B$46,IF(B61="Fr",Spieltage!$B$47,"")))))</f>
        <v>40875</v>
      </c>
      <c r="B61" t="str">
        <f>VLOOKUP(9,Landesliga,3,FALSE)</f>
        <v>Do</v>
      </c>
      <c r="C61" s="19">
        <f>VLOOKUP(9,Landesliga,4,FALSE)</f>
        <v>0.8333333333333334</v>
      </c>
      <c r="D61" t="str">
        <f>VLOOKUP(9,Landesliga,2,FALSE)</f>
        <v>SG Merchweiler/TV Limbach</v>
      </c>
      <c r="E61" s="18" t="s">
        <v>35</v>
      </c>
      <c r="F61" t="str">
        <f>VLOOKUP(8,Landesliga,2,FALSE)</f>
        <v>TTC Püttlingen </v>
      </c>
      <c r="G61" s="17">
        <f>IF(H61="Mo",Spieltage!$F$43,IF(H61="Di",Spieltage!$F$44,IF(H61="Mi",Spieltage!$F$45,IF(H61="Do",Spieltage!$F$46,IF(H61="Fr",Spieltage!$F$47,"")))))</f>
        <v>41723</v>
      </c>
      <c r="H61" t="str">
        <f>VLOOKUP(8,Landesliga,3,FALSE)</f>
        <v>Di</v>
      </c>
      <c r="I61" s="19">
        <f>VLOOKUP(8,Landesliga,4,FALSE)</f>
        <v>0.8125</v>
      </c>
    </row>
    <row r="62" spans="1:9" ht="12.75">
      <c r="A62" s="17" t="e">
        <f>IF(B62="Mo",Spieltage!$B$43,IF(B62="Di",Spieltage!$B$44,IF(B62="Mi",Spieltage!$B$45,IF(B62="Do",Spieltage!$B$46,IF(B62="Fr",Spieltage!$B$47,"")))))</f>
        <v>#N/A</v>
      </c>
      <c r="B62" t="e">
        <f>VLOOKUP(11,Landesliga,3,FALSE)</f>
        <v>#N/A</v>
      </c>
      <c r="C62" s="19" t="e">
        <f>VLOOKUP(11,Landesliga,4,FALSE)</f>
        <v>#N/A</v>
      </c>
      <c r="D62" t="e">
        <f>VLOOKUP(11,Landesliga,2,FALSE)</f>
        <v>#N/A</v>
      </c>
      <c r="E62" s="18" t="s">
        <v>35</v>
      </c>
      <c r="F62" t="str">
        <f>VLOOKUP(6,Landesliga,2,FALSE)</f>
        <v>TTC Dörsdorf   </v>
      </c>
      <c r="G62" s="17">
        <f>IF(H62="Mo",Spieltage!$F$43,IF(H62="Di",Spieltage!$F$44,IF(H62="Mi",Spieltage!$F$45,IF(H62="Do",Spieltage!$F$46,IF(H62="Fr",Spieltage!$F$47,"")))))</f>
        <v>41723</v>
      </c>
      <c r="H62" t="str">
        <f>VLOOKUP(6,Landesliga,3,FALSE)</f>
        <v>Di</v>
      </c>
      <c r="I62" s="19">
        <f>VLOOKUP(6,Landesliga,4,FALSE)</f>
        <v>0.7916666666666666</v>
      </c>
    </row>
    <row r="64" spans="1:9" ht="12.75">
      <c r="A64" s="17">
        <f>IF(B64="Mo",Spieltage!$B$48,IF(B64="Di",Spieltage!$B$49,IF(B64="Mi",Spieltage!$B$50,IF(B64="Do",Spieltage!$B$51,IF(B64="Fr",Spieltage!$B$52,"")))))</f>
        <v>41614</v>
      </c>
      <c r="B64" t="str">
        <f>VLOOKUP(5,Landesliga,3,FALSE)</f>
        <v>Fr</v>
      </c>
      <c r="C64" s="19">
        <f>VLOOKUP(5,Landesliga,4,FALSE)</f>
        <v>0.8125</v>
      </c>
      <c r="D64" t="str">
        <f>VLOOKUP(5,Landesliga,2,FALSE)</f>
        <v>TTF Eppelborn </v>
      </c>
      <c r="E64" s="18" t="s">
        <v>35</v>
      </c>
      <c r="F64" t="str">
        <f>VLOOKUP(9,Landesliga,2,FALSE)</f>
        <v>SG Merchweiler/TV Limbach</v>
      </c>
      <c r="G64" s="17">
        <f>IF(H64="Mo",Spieltage!$F$48,IF(H64="Di",Spieltage!$F$49,IF(H64="Mi",Spieltage!$F$50,IF(H64="Do",Spieltage!$F$51,IF(H64="Fr",Spieltage!$F$52,"")))))</f>
        <v>41732</v>
      </c>
      <c r="H64" t="str">
        <f>VLOOKUP(9,Landesliga,3,FALSE)</f>
        <v>Do</v>
      </c>
      <c r="I64" s="19">
        <f>VLOOKUP(9,Landesliga,4,FALSE)</f>
        <v>0.8333333333333334</v>
      </c>
    </row>
    <row r="65" spans="1:9" ht="12.75">
      <c r="A65" s="17">
        <f>IF(B65="Mo",Spieltage!$B$48,IF(B65="Di",Spieltage!$B$49,IF(B65="Mi",Spieltage!$B$50,IF(B65="Do",Spieltage!$B$51,IF(B65="Fr",Spieltage!$B$52,"")))))</f>
        <v>41611</v>
      </c>
      <c r="B65" t="str">
        <f>VLOOKUP(6,Landesliga,3,FALSE)</f>
        <v>Di</v>
      </c>
      <c r="C65" s="19">
        <f>VLOOKUP(6,Landesliga,4,FALSE)</f>
        <v>0.7916666666666666</v>
      </c>
      <c r="D65" t="str">
        <f>VLOOKUP(6,Landesliga,2,FALSE)</f>
        <v>TTC Dörsdorf   </v>
      </c>
      <c r="E65" s="18" t="s">
        <v>35</v>
      </c>
      <c r="F65" t="str">
        <f>VLOOKUP(3,Landesliga,2,FALSE)</f>
        <v>TTC Wallerfangen </v>
      </c>
      <c r="G65" s="17">
        <f>IF(H65="Mo",Spieltage!$F$48,IF(H65="Di",Spieltage!$F$49,IF(H65="Mi",Spieltage!$F$50,IF(H65="Do",Spieltage!$F$51,IF(H65="Fr",Spieltage!$F$52,"")))))</f>
        <v>41731</v>
      </c>
      <c r="H65" t="str">
        <f>VLOOKUP(3,Landesliga,3,FALSE)</f>
        <v>Mi</v>
      </c>
      <c r="I65" s="19">
        <f>VLOOKUP(3,Landesliga,4,FALSE)</f>
        <v>0.8125</v>
      </c>
    </row>
    <row r="66" spans="1:9" ht="12.75">
      <c r="A66" s="17">
        <f>IF(B66="Mo",Spieltage!$B$48,IF(B66="Di",Spieltage!$B$49,IF(B66="Mi",Spieltage!$B$50,IF(B66="Do",Spieltage!$B$51,IF(B66="Fr",Spieltage!$B$52,"")))))</f>
        <v>41613</v>
      </c>
      <c r="B66" t="str">
        <f>VLOOKUP(7,Landesliga,3,FALSE)</f>
        <v>Do</v>
      </c>
      <c r="C66" s="19">
        <f>VLOOKUP(7,Landesliga,4,FALSE)</f>
        <v>0.8125</v>
      </c>
      <c r="D66" t="str">
        <f>VLOOKUP(7,Landesliga,2,FALSE)</f>
        <v>TTC Ensdorf</v>
      </c>
      <c r="E66" s="18" t="s">
        <v>35</v>
      </c>
      <c r="F66" t="str">
        <f>VLOOKUP(2,Landesliga,2,FALSE)</f>
        <v>TTC Saarwellingen </v>
      </c>
      <c r="G66" s="17">
        <f>IF(H66="Mo",Spieltage!$F$48,IF(H66="Di",Spieltage!$F$49,IF(H66="Mi",Spieltage!$F$50,IF(H66="Do",Spieltage!$F$51,IF(H66="Fr",Spieltage!$F$52,"")))))</f>
        <v>41730</v>
      </c>
      <c r="H66" t="str">
        <f>VLOOKUP(2,Landesliga,3,FALSE)</f>
        <v>Di</v>
      </c>
      <c r="I66" s="19" t="str">
        <f>VLOOKUP(2,Landesliga,4,FALSE)</f>
        <v>20.00</v>
      </c>
    </row>
    <row r="67" spans="1:9" ht="12.75">
      <c r="A67" s="17">
        <f>IF(B67="Mo",Spieltage!$B$48,IF(B67="Di",Spieltage!$B$49,IF(B67="Mi",Spieltage!$B$50,IF(B67="Do",Spieltage!$B$51,IF(B67="Fr",Spieltage!$B$52,"")))))</f>
        <v>41611</v>
      </c>
      <c r="B67" t="str">
        <f>VLOOKUP(8,Landesliga,3,FALSE)</f>
        <v>Di</v>
      </c>
      <c r="C67" s="19">
        <f>VLOOKUP(8,Landesliga,4,FALSE)</f>
        <v>0.8125</v>
      </c>
      <c r="D67" t="str">
        <f>VLOOKUP(8,Landesliga,2,FALSE)</f>
        <v>TTC Püttlingen </v>
      </c>
      <c r="E67" s="18" t="s">
        <v>35</v>
      </c>
      <c r="F67" t="e">
        <f>VLOOKUP(11,Landesliga,2,FALSE)</f>
        <v>#N/A</v>
      </c>
      <c r="G67" s="17" t="e">
        <f>IF(H67="Mo",Spieltage!$F$48,IF(H67="Di",Spieltage!$F$49,IF(H67="Mi",Spieltage!$F$50,IF(H67="Do",Spieltage!$F$51,IF(H67="Fr",Spieltage!$F$52,"")))))</f>
        <v>#N/A</v>
      </c>
      <c r="H67" t="e">
        <f>VLOOKUP(11,Landesliga,3,FALSE)</f>
        <v>#N/A</v>
      </c>
      <c r="I67" s="19" t="e">
        <f>VLOOKUP(11,Landesliga,4,FALSE)</f>
        <v>#N/A</v>
      </c>
    </row>
    <row r="68" spans="1:9" ht="12.75">
      <c r="A68" s="17">
        <f>IF(B68="Mo",Spieltage!$B$48,IF(B68="Di",Spieltage!$B$49,IF(B68="Mi",Spieltage!$B$50,IF(B68="Do",Spieltage!$B$51,IF(B68="Fr",Spieltage!$B$52,"")))))</f>
        <v>41614</v>
      </c>
      <c r="B68" t="str">
        <f>VLOOKUP(10,Landesliga,3,FALSE)</f>
        <v>Fr</v>
      </c>
      <c r="C68" s="19">
        <f>VLOOKUP(10,Landesliga,4,FALSE)</f>
        <v>0.8333333333333334</v>
      </c>
      <c r="D68" t="str">
        <f>VLOOKUP(10,Landesliga,2,FALSE)</f>
        <v>ATSV Saarbrücken</v>
      </c>
      <c r="E68" s="18" t="s">
        <v>35</v>
      </c>
      <c r="F68" t="str">
        <f>VLOOKUP(1,Landesliga,2,FALSE)</f>
        <v>TTV Hasborn </v>
      </c>
      <c r="G68" s="17">
        <f>IF(H68="Mo",Spieltage!$F$48,IF(H68="Di",Spieltage!$F$49,IF(H68="Mi",Spieltage!$F$50,IF(H68="Do",Spieltage!$F$51,IF(H68="Fr",Spieltage!$F$52,"")))))</f>
        <v>41733</v>
      </c>
      <c r="H68" t="str">
        <f>VLOOKUP(1,Landesliga,3,FALSE)</f>
        <v>Fr</v>
      </c>
      <c r="I68" s="19">
        <f>VLOOKUP(1,Landesliga,4,FALSE)</f>
        <v>0.7916666666666666</v>
      </c>
    </row>
    <row r="69" spans="1:9" ht="12.75">
      <c r="A69" s="17" t="e">
        <f>IF(B69="Mo",Spieltage!$B$48,IF(B69="Di",Spieltage!$B$49,IF(B69="Mi",Spieltage!$B$50,IF(B69="Do",Spieltage!$B$51,IF(B69="Fr",Spieltage!$B$52,"")))))</f>
        <v>#N/A</v>
      </c>
      <c r="B69" t="e">
        <f>VLOOKUP(12,Landesliga,3,FALSE)</f>
        <v>#N/A</v>
      </c>
      <c r="C69" s="19" t="e">
        <f>VLOOKUP(12,Landesliga,4,FALSE)</f>
        <v>#N/A</v>
      </c>
      <c r="D69" t="e">
        <f>VLOOKUP(12,Landesliga,2,FALSE)</f>
        <v>#N/A</v>
      </c>
      <c r="E69" s="18" t="s">
        <v>35</v>
      </c>
      <c r="F69" t="str">
        <f>VLOOKUP(4,Landesliga,2,FALSE)</f>
        <v>MTTC Namborn</v>
      </c>
      <c r="G69" s="17">
        <f>IF(H69="Mo",Spieltage!$F$48,IF(H69="Di",Spieltage!$F$49,IF(H69="Mi",Spieltage!$F$50,IF(H69="Do",Spieltage!$F$51,IF(H69="Fr",Spieltage!$F$52,"")))))</f>
        <v>41732</v>
      </c>
      <c r="H69" t="str">
        <f>VLOOKUP(4,Landesliga,3,FALSE)</f>
        <v>Do</v>
      </c>
      <c r="I69" s="19">
        <f>VLOOKUP(4,Landesliga,4,FALSE)</f>
        <v>0.84375</v>
      </c>
    </row>
    <row r="71" spans="1:9" ht="12.75">
      <c r="A71" s="17">
        <f>IF(B71="Mo",Spieltage!$B$53,IF(B71="Di",Spieltage!$B$54,IF(B71="Mi",Spieltage!$B$55,IF(B71="Do",Spieltage!$B$56,IF(B71="Fr",Spieltage!$B$57,"")))))</f>
        <v>41607</v>
      </c>
      <c r="B71" t="str">
        <f>VLOOKUP(1,Landesliga,3,FALSE)</f>
        <v>Fr</v>
      </c>
      <c r="C71" s="19">
        <f>VLOOKUP(1,Landesliga,4,FALSE)</f>
        <v>0.7916666666666666</v>
      </c>
      <c r="D71" t="str">
        <f>VLOOKUP(1,Landesliga,2,FALSE)</f>
        <v>TTV Hasborn </v>
      </c>
      <c r="E71" s="18" t="s">
        <v>35</v>
      </c>
      <c r="F71" t="str">
        <f>VLOOKUP(9,Landesliga,2,FALSE)</f>
        <v>SG Merchweiler/TV Limbach</v>
      </c>
      <c r="G71" s="17">
        <f>IF(H71="Mo",Spieltage!$F$53,IF(H71="Di",Spieltage!$F$54,IF(H71="Mi",Spieltage!$F$55,IF(H71="Do",Spieltage!$F$56,IF(H71="Fr",Spieltage!$F$57,"")))))</f>
        <v>41725</v>
      </c>
      <c r="H71" t="str">
        <f>VLOOKUP(9,Landesliga,3,FALSE)</f>
        <v>Do</v>
      </c>
      <c r="I71" s="19">
        <f>VLOOKUP(9,Landesliga,4,FALSE)</f>
        <v>0.8333333333333334</v>
      </c>
    </row>
    <row r="72" spans="1:9" ht="12.75">
      <c r="A72" s="17">
        <f>IF(B72="Mo",Spieltage!$B$53,IF(B72="Di",Spieltage!$B$54,IF(B72="Mi",Spieltage!$B$55,IF(B72="Do",Spieltage!$B$56,IF(B72="Fr",Spieltage!$B$57,"")))))</f>
        <v>41604</v>
      </c>
      <c r="B72" t="str">
        <f>VLOOKUP(2,Landesliga,3,FALSE)</f>
        <v>Di</v>
      </c>
      <c r="C72" s="19" t="str">
        <f>VLOOKUP(2,Landesliga,4,FALSE)</f>
        <v>20.00</v>
      </c>
      <c r="D72" t="str">
        <f>VLOOKUP(2,Landesliga,2,FALSE)</f>
        <v>TTC Saarwellingen </v>
      </c>
      <c r="E72" s="18" t="s">
        <v>35</v>
      </c>
      <c r="F72" t="str">
        <f>VLOOKUP(8,Landesliga,2,FALSE)</f>
        <v>TTC Püttlingen </v>
      </c>
      <c r="G72" s="17">
        <f>IF(H72="Mo",Spieltage!$F$53,IF(H72="Di",Spieltage!$F$54,IF(H72="Mi",Spieltage!$F$55,IF(H72="Do",Spieltage!$F$56,IF(H72="Fr",Spieltage!$F$57,"")))))</f>
        <v>41723</v>
      </c>
      <c r="H72" t="str">
        <f>VLOOKUP(8,Landesliga,3,FALSE)</f>
        <v>Di</v>
      </c>
      <c r="I72" s="19">
        <f>VLOOKUP(8,Landesliga,4,FALSE)</f>
        <v>0.8125</v>
      </c>
    </row>
    <row r="73" spans="1:9" ht="12.75">
      <c r="A73" s="17">
        <f>IF(B73="Mo",Spieltage!$B$53,IF(B73="Di",Spieltage!$B$54,IF(B73="Mi",Spieltage!$B$55,IF(B73="Do",Spieltage!$B$56,IF(B73="Fr",Spieltage!$B$57,"")))))</f>
        <v>41605</v>
      </c>
      <c r="B73" t="str">
        <f>VLOOKUP(3,Landesliga,3,FALSE)</f>
        <v>Mi</v>
      </c>
      <c r="C73" s="19">
        <f>VLOOKUP(3,Landesliga,4,FALSE)</f>
        <v>0.8125</v>
      </c>
      <c r="D73" t="str">
        <f>VLOOKUP(3,Landesliga,2,FALSE)</f>
        <v>TTC Wallerfangen </v>
      </c>
      <c r="E73" s="18" t="s">
        <v>35</v>
      </c>
      <c r="F73" t="e">
        <f>VLOOKUP(12,Landesliga,2,FALSE)</f>
        <v>#N/A</v>
      </c>
      <c r="G73" s="17" t="e">
        <f>IF(H73="Mo",Spieltage!$F$53,IF(H73="Di",Spieltage!$F$54,IF(H73="Mi",Spieltage!$F$55,IF(H73="Do",Spieltage!$F$56,IF(H73="Fr",Spieltage!$F$57,"")))))</f>
        <v>#N/A</v>
      </c>
      <c r="H73" t="e">
        <f>VLOOKUP(12,Landesliga,3,FALSE)</f>
        <v>#N/A</v>
      </c>
      <c r="I73" s="19" t="e">
        <f>VLOOKUP(12,Landesliga,4,FALSE)</f>
        <v>#N/A</v>
      </c>
    </row>
    <row r="74" spans="1:9" ht="12.75">
      <c r="A74" s="17">
        <f>IF(B74="Mo",Spieltage!$B$53,IF(B74="Di",Spieltage!$B$54,IF(B74="Mi",Spieltage!$B$55,IF(B74="Do",Spieltage!$B$56,IF(B74="Fr",Spieltage!$B$57,"")))))</f>
        <v>41606</v>
      </c>
      <c r="B74" t="str">
        <f>VLOOKUP(4,Landesliga,3,FALSE)</f>
        <v>Do</v>
      </c>
      <c r="C74" s="19">
        <f>VLOOKUP(4,Landesliga,4,FALSE)</f>
        <v>0.84375</v>
      </c>
      <c r="D74" t="str">
        <f>VLOOKUP(4,Landesliga,2,FALSE)</f>
        <v>MTTC Namborn</v>
      </c>
      <c r="E74" s="18" t="s">
        <v>35</v>
      </c>
      <c r="F74" t="str">
        <f>VLOOKUP(6,Landesliga,2,FALSE)</f>
        <v>TTC Dörsdorf   </v>
      </c>
      <c r="G74" s="17">
        <f>IF(H74="Mo",Spieltage!$F$53,IF(H74="Di",Spieltage!$F$54,IF(H74="Mi",Spieltage!$F$55,IF(H74="Do",Spieltage!$F$56,IF(H74="Fr",Spieltage!$F$57,"")))))</f>
        <v>41723</v>
      </c>
      <c r="H74" t="str">
        <f>VLOOKUP(6,Landesliga,3,FALSE)</f>
        <v>Di</v>
      </c>
      <c r="I74" s="19">
        <f>VLOOKUP(6,Landesliga,4,FALSE)</f>
        <v>0.7916666666666666</v>
      </c>
    </row>
    <row r="75" spans="1:9" ht="12.75">
      <c r="A75" s="17">
        <f>IF(B75="Mo",Spieltage!$B$53,IF(B75="Di",Spieltage!$B$54,IF(B75="Mi",Spieltage!$B$55,IF(B75="Do",Spieltage!$B$56,IF(B75="Fr",Spieltage!$B$57,"")))))</f>
        <v>41607</v>
      </c>
      <c r="B75" t="str">
        <f>VLOOKUP(10,Landesliga,3,FALSE)</f>
        <v>Fr</v>
      </c>
      <c r="C75" s="19">
        <f>VLOOKUP(10,Landesliga,4,FALSE)</f>
        <v>0.8333333333333334</v>
      </c>
      <c r="D75" t="str">
        <f>VLOOKUP(10,Landesliga,2,FALSE)</f>
        <v>ATSV Saarbrücken</v>
      </c>
      <c r="E75" s="18" t="s">
        <v>35</v>
      </c>
      <c r="F75" t="str">
        <f>VLOOKUP(5,Landesliga,2,FALSE)</f>
        <v>TTF Eppelborn </v>
      </c>
      <c r="G75" s="17">
        <f>IF(H75="Mo",Spieltage!$F$53,IF(H75="Di",Spieltage!$F$54,IF(H75="Mi",Spieltage!$F$55,IF(H75="Do",Spieltage!$F$56,IF(H75="Fr",Spieltage!$F$57,"")))))</f>
        <v>41726</v>
      </c>
      <c r="H75" t="str">
        <f>VLOOKUP(5,Landesliga,3,FALSE)</f>
        <v>Fr</v>
      </c>
      <c r="I75" s="19">
        <f>VLOOKUP(5,Landesliga,4,FALSE)</f>
        <v>0.8125</v>
      </c>
    </row>
    <row r="76" spans="1:9" ht="12.75">
      <c r="A76" s="17" t="e">
        <f>IF(B76="Mo",Spieltage!$B$53,IF(B76="Di",Spieltage!$B$54,IF(B76="Mi",Spieltage!$B$55,IF(B76="Do",Spieltage!$B$56,IF(B76="Fr",Spieltage!$B$57,"")))))</f>
        <v>#N/A</v>
      </c>
      <c r="B76" t="e">
        <f>VLOOKUP(11,Landesliga,3,FALSE)</f>
        <v>#N/A</v>
      </c>
      <c r="C76" s="19" t="e">
        <f>VLOOKUP(11,Landesliga,4,FALSE)</f>
        <v>#N/A</v>
      </c>
      <c r="D76" t="e">
        <f>VLOOKUP(11,Landesliga,2,FALSE)</f>
        <v>#N/A</v>
      </c>
      <c r="E76" s="18" t="s">
        <v>35</v>
      </c>
      <c r="F76" t="str">
        <f>VLOOKUP(7,Landesliga,2,FALSE)</f>
        <v>TTC Ensdorf</v>
      </c>
      <c r="G76" s="17">
        <f>IF(H76="Mo",Spieltage!$F$53,IF(H76="Di",Spieltage!$F$54,IF(H76="Mi",Spieltage!$F$55,IF(H76="Do",Spieltage!$F$56,IF(H76="Fr",Spieltage!$F$57,"")))))</f>
        <v>41725</v>
      </c>
      <c r="H76" t="str">
        <f>VLOOKUP(7,Landesliga,3,FALSE)</f>
        <v>Do</v>
      </c>
      <c r="I76" s="19">
        <f>VLOOKUP(7,Landesliga,4,FALSE)</f>
        <v>0.8125</v>
      </c>
    </row>
    <row r="78" spans="1:9" ht="12.75">
      <c r="A78" s="17">
        <f>IF(B78="Mo",Spieltage!$B$58,IF(B78="Di",Spieltage!$B$59,IF(B78="Mi",Spieltage!$B$60,IF(B78="Do",Spieltage!$B$61,IF(B78="Fr",Spieltage!$B$62,"")))))</f>
        <v>41614</v>
      </c>
      <c r="B78" t="str">
        <f>VLOOKUP(5,Landesliga,3,FALSE)</f>
        <v>Fr</v>
      </c>
      <c r="C78" s="19">
        <f>VLOOKUP(5,Landesliga,4,FALSE)</f>
        <v>0.8125</v>
      </c>
      <c r="D78" t="str">
        <f>VLOOKUP(5,Landesliga,2,FALSE)</f>
        <v>TTF Eppelborn </v>
      </c>
      <c r="E78" s="18" t="s">
        <v>35</v>
      </c>
      <c r="F78" t="str">
        <f>VLOOKUP(4,Landesliga,2,FALSE)</f>
        <v>MTTC Namborn</v>
      </c>
      <c r="G78" s="17">
        <f>IF(H78="Mo",Spieltage!$F$58,IF(H78="Di",Spieltage!$F$59,IF(H78="Mi",Spieltage!$F$60,IF(H78="Do",Spieltage!$F$61,IF(H78="Fr",Spieltage!$F$62,"")))))</f>
        <v>41732</v>
      </c>
      <c r="H78" t="str">
        <f>VLOOKUP(4,Landesliga,3,FALSE)</f>
        <v>Do</v>
      </c>
      <c r="I78" s="19">
        <f>VLOOKUP(4,Landesliga,4,FALSE)</f>
        <v>0.84375</v>
      </c>
    </row>
    <row r="79" spans="1:9" ht="12.75">
      <c r="A79" s="17">
        <f>IF(B79="Mo",Spieltage!$B$58,IF(B79="Di",Spieltage!$B$59,IF(B79="Mi",Spieltage!$B$60,IF(B79="Do",Spieltage!$B$61,IF(B79="Fr",Spieltage!$B$62,"")))))</f>
        <v>41611</v>
      </c>
      <c r="B79" t="str">
        <f>VLOOKUP(6,Landesliga,3,FALSE)</f>
        <v>Di</v>
      </c>
      <c r="C79" s="19">
        <f>VLOOKUP(6,Landesliga,4,FALSE)</f>
        <v>0.7916666666666666</v>
      </c>
      <c r="D79" t="str">
        <f>VLOOKUP(6,Landesliga,2,FALSE)</f>
        <v>TTC Dörsdorf   </v>
      </c>
      <c r="E79" s="18" t="s">
        <v>35</v>
      </c>
      <c r="F79" t="str">
        <f>VLOOKUP(2,Landesliga,2,FALSE)</f>
        <v>TTC Saarwellingen </v>
      </c>
      <c r="G79" s="17">
        <f>IF(H79="Mo",Spieltage!$F$58,IF(H79="Di",Spieltage!$F$59,IF(H79="Mi",Spieltage!$F$60,IF(H79="Do",Spieltage!$F$61,IF(H79="Fr",Spieltage!$F$62,"")))))</f>
        <v>41730</v>
      </c>
      <c r="H79" t="str">
        <f>VLOOKUP(2,Landesliga,3,FALSE)</f>
        <v>Di</v>
      </c>
      <c r="I79" s="19" t="str">
        <f>VLOOKUP(2,Landesliga,4,FALSE)</f>
        <v>20.00</v>
      </c>
    </row>
    <row r="80" spans="1:9" ht="12.75">
      <c r="A80" s="17">
        <f>IF(B80="Mo",Spieltage!$B$58,IF(B80="Di",Spieltage!$B$59,IF(B80="Mi",Spieltage!$B$60,IF(B80="Do",Spieltage!$B$61,IF(B80="Fr",Spieltage!$B$62,"")))))</f>
        <v>41613</v>
      </c>
      <c r="B80" t="str">
        <f>VLOOKUP(7,Landesliga,3,FALSE)</f>
        <v>Do</v>
      </c>
      <c r="C80" s="19">
        <f>VLOOKUP(7,Landesliga,4,FALSE)</f>
        <v>0.8125</v>
      </c>
      <c r="D80" t="str">
        <f>VLOOKUP(7,Landesliga,2,FALSE)</f>
        <v>TTC Ensdorf</v>
      </c>
      <c r="E80" s="18" t="s">
        <v>35</v>
      </c>
      <c r="F80" t="str">
        <f>VLOOKUP(3,Landesliga,2,FALSE)</f>
        <v>TTC Wallerfangen </v>
      </c>
      <c r="G80" s="17">
        <f>IF(H80="Mo",Spieltage!$F$58,IF(H80="Di",Spieltage!$F$59,IF(H80="Mi",Spieltage!$F$60,IF(H80="Do",Spieltage!$F$61,IF(H80="Fr",Spieltage!$F$62,"")))))</f>
        <v>41731</v>
      </c>
      <c r="H80" t="str">
        <f>VLOOKUP(3,Landesliga,3,FALSE)</f>
        <v>Mi</v>
      </c>
      <c r="I80" s="19">
        <f>VLOOKUP(3,Landesliga,4,FALSE)</f>
        <v>0.8125</v>
      </c>
    </row>
    <row r="81" spans="1:9" ht="12.75">
      <c r="A81" s="17">
        <f>IF(B81="Mo",Spieltage!$B$58,IF(B81="Di",Spieltage!$B$59,IF(B81="Mi",Spieltage!$B$60,IF(B81="Do",Spieltage!$B$61,IF(B81="Fr",Spieltage!$B$62,"")))))</f>
        <v>41611</v>
      </c>
      <c r="B81" t="str">
        <f>VLOOKUP(8,Landesliga,3,FALSE)</f>
        <v>Di</v>
      </c>
      <c r="C81" s="19">
        <f>VLOOKUP(8,Landesliga,4,FALSE)</f>
        <v>0.8125</v>
      </c>
      <c r="D81" t="str">
        <f>VLOOKUP(8,Landesliga,2,FALSE)</f>
        <v>TTC Püttlingen </v>
      </c>
      <c r="E81" s="18" t="s">
        <v>35</v>
      </c>
      <c r="F81" t="str">
        <f>VLOOKUP(1,Landesliga,2,FALSE)</f>
        <v>TTV Hasborn </v>
      </c>
      <c r="G81" s="17">
        <f>IF(H81="Mo",Spieltage!$F$58,IF(H81="Di",Spieltage!$F$59,IF(H81="Mi",Spieltage!$F$60,IF(H81="Do",Spieltage!$F$61,IF(H81="Fr",Spieltage!$F$62,"")))))</f>
        <v>41733</v>
      </c>
      <c r="H81" t="str">
        <f>VLOOKUP(1,Landesliga,3,FALSE)</f>
        <v>Fr</v>
      </c>
      <c r="I81" s="19">
        <f>VLOOKUP(1,Landesliga,4,FALSE)</f>
        <v>0.7916666666666666</v>
      </c>
    </row>
    <row r="82" spans="1:9" ht="12.75">
      <c r="A82" s="17">
        <f>IF(B82="Mo",Spieltage!$B$58,IF(B82="Di",Spieltage!$B$59,IF(B82="Mi",Spieltage!$B$60,IF(B82="Do",Spieltage!$B$61,IF(B82="Fr",Spieltage!$B$62,"")))))</f>
        <v>41613</v>
      </c>
      <c r="B82" t="str">
        <f>VLOOKUP(9,Landesliga,3,FALSE)</f>
        <v>Do</v>
      </c>
      <c r="C82" s="19">
        <f>VLOOKUP(9,Landesliga,4,FALSE)</f>
        <v>0.8333333333333334</v>
      </c>
      <c r="D82" t="str">
        <f>VLOOKUP(9,Landesliga,2,FALSE)</f>
        <v>SG Merchweiler/TV Limbach</v>
      </c>
      <c r="E82" s="18" t="s">
        <v>35</v>
      </c>
      <c r="F82" t="e">
        <f>VLOOKUP(11,Landesliga,2,FALSE)</f>
        <v>#N/A</v>
      </c>
      <c r="G82" s="17" t="e">
        <f>IF(H82="Mo",Spieltage!$F$58,IF(H82="Di",Spieltage!$F$59,IF(H82="Mi",Spieltage!$F$60,IF(H82="Do",Spieltage!$F$61,IF(H82="Fr",Spieltage!$F$62,"")))))</f>
        <v>#N/A</v>
      </c>
      <c r="H82" t="e">
        <f>VLOOKUP(11,Landesliga,3,FALSE)</f>
        <v>#N/A</v>
      </c>
      <c r="I82" s="19" t="e">
        <f>VLOOKUP(11,Landesliga,4,FALSE)</f>
        <v>#N/A</v>
      </c>
    </row>
    <row r="83" spans="1:9" ht="12.75">
      <c r="A83" s="17" t="e">
        <f>IF(B83="Mo",Spieltage!$B$58,IF(B83="Di",Spieltage!$B$59,IF(B83="Mi",Spieltage!$B$60,IF(B83="Do",Spieltage!$B$61,IF(B83="Fr",Spieltage!$B$62,"")))))</f>
        <v>#N/A</v>
      </c>
      <c r="B83" t="e">
        <f>VLOOKUP(12,Landesliga,3,FALSE)</f>
        <v>#N/A</v>
      </c>
      <c r="C83" s="19" t="e">
        <f>VLOOKUP(12,Landesliga,4,FALSE)</f>
        <v>#N/A</v>
      </c>
      <c r="D83" t="e">
        <f>VLOOKUP(12,Landesliga,2,FALSE)</f>
        <v>#N/A</v>
      </c>
      <c r="E83" s="18" t="s">
        <v>35</v>
      </c>
      <c r="F83" t="str">
        <f>VLOOKUP(10,Landesliga,2,FALSE)</f>
        <v>ATSV Saarbrücken</v>
      </c>
      <c r="G83" s="17">
        <f>IF(H83="Mo",Spieltage!$F$58,IF(H83="Di",Spieltage!$F$59,IF(H83="Mi",Spieltage!$F$60,IF(H83="Do",Spieltage!$F$61,IF(H83="Fr",Spieltage!$F$62,"")))))</f>
        <v>41733</v>
      </c>
      <c r="H83" t="str">
        <f>VLOOKUP(10,Landesliga,3,FALSE)</f>
        <v>Fr</v>
      </c>
      <c r="I83" s="19">
        <f>VLOOKUP(10,Landesliga,4,FALSE)</f>
        <v>0.8333333333333334</v>
      </c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rowBreaks count="1" manualBreakCount="1">
    <brk id="5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2" sqref="A2"/>
    </sheetView>
  </sheetViews>
  <sheetFormatPr defaultColWidth="11.421875" defaultRowHeight="12.75"/>
  <cols>
    <col min="1" max="1" width="10.28125" style="0" customWidth="1"/>
    <col min="2" max="2" width="3.7109375" style="0" customWidth="1"/>
    <col min="3" max="3" width="5.7109375" style="0" customWidth="1"/>
    <col min="4" max="4" width="21.7109375" style="0" customWidth="1"/>
    <col min="5" max="5" width="1.7109375" style="0" customWidth="1"/>
    <col min="6" max="6" width="21.7109375" style="0" customWidth="1"/>
    <col min="7" max="7" width="10.28125" style="0" customWidth="1"/>
    <col min="8" max="8" width="3.7109375" style="0" customWidth="1"/>
    <col min="9" max="9" width="5.7109375" style="0" customWidth="1"/>
  </cols>
  <sheetData>
    <row r="1" spans="1:9" ht="12.75">
      <c r="A1" s="1" t="s">
        <v>31</v>
      </c>
      <c r="I1" s="20" t="s">
        <v>32</v>
      </c>
    </row>
    <row r="2" ht="15.75">
      <c r="D2" s="4" t="s">
        <v>5</v>
      </c>
    </row>
    <row r="4" spans="1:4" ht="15.75">
      <c r="A4" s="4" t="s">
        <v>33</v>
      </c>
      <c r="D4" s="1" t="str">
        <f>Spieltage!A3&amp;" "&amp;Spieltage!B3</f>
        <v>Saison 2013/2014</v>
      </c>
    </row>
    <row r="6" spans="1:7" ht="12.75">
      <c r="A6" s="1" t="s">
        <v>28</v>
      </c>
      <c r="G6" s="1" t="s">
        <v>30</v>
      </c>
    </row>
    <row r="8" spans="1:9" ht="12.75">
      <c r="A8" s="17">
        <f>IF(B8="Mo",Spieltage!$B$8,IF(B8="Di",Spieltage!$B$9,IF(B8="Mi",Spieltage!$B$10,IF(B8="Do",Spieltage!$B$11,IF(B8="Fr",Spieltage!$B$12,"")))))</f>
        <v>41530</v>
      </c>
      <c r="B8" t="str">
        <f>VLOOKUP(1,Landesliga,3,FALSE)</f>
        <v>Fr</v>
      </c>
      <c r="C8" s="19">
        <f>VLOOKUP(1,Landesliga,4,FALSE)</f>
        <v>0.7916666666666666</v>
      </c>
      <c r="D8" t="str">
        <f>VLOOKUP(1,Landesliga,2,FALSE)</f>
        <v>TTV Hasborn </v>
      </c>
      <c r="E8" s="18" t="s">
        <v>35</v>
      </c>
      <c r="F8" t="str">
        <f>VLOOKUP(9,Landesliga,2,FALSE)</f>
        <v>SG Merchweiler/TV Limbach</v>
      </c>
      <c r="G8" s="17">
        <f>IF(H8="Mo",Spieltage!$F$8,IF(H8="Di",Spieltage!$F$9,IF(H8="Mi",Spieltage!$F$10,IF(H8="Do",Spieltage!$F$11,IF(H8="Fr",Spieltage!$F$12,"")))))</f>
        <v>41648</v>
      </c>
      <c r="H8" t="str">
        <f>VLOOKUP(9,Landesliga,3,FALSE)</f>
        <v>Do</v>
      </c>
      <c r="I8" s="19">
        <f>VLOOKUP(9,Landesliga,4,FALSE)</f>
        <v>0.8333333333333334</v>
      </c>
    </row>
    <row r="9" spans="1:9" ht="12.75">
      <c r="A9" s="17">
        <f>IF(B9="Mo",Spieltage!$B$8,IF(B9="Di",Spieltage!$B$9,IF(B9="Mi",Spieltage!$B$10,IF(B9="Do",Spieltage!$B$11,IF(B9="Fr",Spieltage!$B$12,"")))))</f>
        <v>41527</v>
      </c>
      <c r="B9" t="str">
        <f>VLOOKUP(2,Landesliga,3,FALSE)</f>
        <v>Di</v>
      </c>
      <c r="C9" s="19" t="str">
        <f>VLOOKUP(2,Landesliga,4,FALSE)</f>
        <v>20.00</v>
      </c>
      <c r="D9" t="str">
        <f>VLOOKUP(2,Landesliga,2,FALSE)</f>
        <v>TTC Saarwellingen </v>
      </c>
      <c r="E9" s="18" t="s">
        <v>35</v>
      </c>
      <c r="F9" t="str">
        <f>VLOOKUP(8,Landesliga,2,FALSE)</f>
        <v>TTC Püttlingen </v>
      </c>
      <c r="G9" s="17">
        <f>IF(H9="Mo",Spieltage!$F$8,IF(H9="Di",Spieltage!$F$9,IF(H9="Mi",Spieltage!$F$10,IF(H9="Do",Spieltage!$F$11,IF(H9="Fr",Spieltage!$F$12,"")))))</f>
        <v>41646</v>
      </c>
      <c r="H9" t="str">
        <f>VLOOKUP(8,Landesliga,3,FALSE)</f>
        <v>Di</v>
      </c>
      <c r="I9" s="19">
        <f>VLOOKUP(8,Landesliga,4,FALSE)</f>
        <v>0.8125</v>
      </c>
    </row>
    <row r="10" spans="1:9" ht="12.75">
      <c r="A10" s="17">
        <f>IF(B10="Mo",Spieltage!$B$8,IF(B10="Di",Spieltage!$B$9,IF(B10="Mi",Spieltage!$B$10,IF(B10="Do",Spieltage!$B$11,IF(B10="Fr",Spieltage!$B$12,"")))))</f>
        <v>41528</v>
      </c>
      <c r="B10" t="str">
        <f>VLOOKUP(3,Landesliga,3,FALSE)</f>
        <v>Mi</v>
      </c>
      <c r="C10" s="19">
        <f>VLOOKUP(3,Landesliga,4,FALSE)</f>
        <v>0.8125</v>
      </c>
      <c r="D10" t="str">
        <f>VLOOKUP(3,Landesliga,2,FALSE)</f>
        <v>TTC Wallerfangen </v>
      </c>
      <c r="E10" s="18" t="s">
        <v>35</v>
      </c>
      <c r="F10" t="str">
        <f>VLOOKUP(7,Landesliga,2,FALSE)</f>
        <v>TTC Ensdorf</v>
      </c>
      <c r="G10" s="17">
        <f>IF(H10="Mo",Spieltage!$F$8,IF(H10="Di",Spieltage!$F$9,IF(H10="Mi",Spieltage!$F$10,IF(H10="Do",Spieltage!$F$11,IF(H10="Fr",Spieltage!$F$12,"")))))</f>
        <v>41648</v>
      </c>
      <c r="H10" t="str">
        <f>VLOOKUP(7,Landesliga,3,FALSE)</f>
        <v>Do</v>
      </c>
      <c r="I10" s="19">
        <f>VLOOKUP(7,Landesliga,4,FALSE)</f>
        <v>0.8125</v>
      </c>
    </row>
    <row r="11" spans="1:9" ht="12.75">
      <c r="A11" s="17">
        <f>IF(B11="Mo",Spieltage!$B$8,IF(B11="Di",Spieltage!$B$9,IF(B11="Mi",Spieltage!$B$10,IF(B11="Do",Spieltage!$B$11,IF(B11="Fr",Spieltage!$B$12,"")))))</f>
        <v>41529</v>
      </c>
      <c r="B11" t="str">
        <f>VLOOKUP(4,Landesliga,3,FALSE)</f>
        <v>Do</v>
      </c>
      <c r="C11" s="19">
        <f>VLOOKUP(4,Landesliga,4,FALSE)</f>
        <v>0.84375</v>
      </c>
      <c r="D11" t="str">
        <f>VLOOKUP(4,Landesliga,2,FALSE)</f>
        <v>MTTC Namborn</v>
      </c>
      <c r="E11" s="18" t="s">
        <v>35</v>
      </c>
      <c r="F11" t="str">
        <f>VLOOKUP(6,Landesliga,2,FALSE)</f>
        <v>TTC Dörsdorf   </v>
      </c>
      <c r="G11" s="17">
        <f>IF(H11="Mo",Spieltage!$F$8,IF(H11="Di",Spieltage!$F$9,IF(H11="Mi",Spieltage!$F$10,IF(H11="Do",Spieltage!$F$11,IF(H11="Fr",Spieltage!$F$12,"")))))</f>
        <v>41646</v>
      </c>
      <c r="H11" t="str">
        <f>VLOOKUP(6,Landesliga,3,FALSE)</f>
        <v>Di</v>
      </c>
      <c r="I11" s="19">
        <f>VLOOKUP(6,Landesliga,4,FALSE)</f>
        <v>0.7916666666666666</v>
      </c>
    </row>
    <row r="12" spans="1:9" ht="12.75">
      <c r="A12" s="17">
        <f>IF(B12="Mo",Spieltage!$B$8,IF(B12="Di",Spieltage!$B$9,IF(B12="Mi",Spieltage!$B$10,IF(B12="Do",Spieltage!$B$11,IF(B12="Fr",Spieltage!$B$12,"")))))</f>
        <v>41530</v>
      </c>
      <c r="B12" t="str">
        <f>VLOOKUP(10,Landesliga,3,FALSE)</f>
        <v>Fr</v>
      </c>
      <c r="C12" s="19">
        <f>VLOOKUP(10,Landesliga,4,FALSE)</f>
        <v>0.8333333333333334</v>
      </c>
      <c r="D12" t="str">
        <f>VLOOKUP(10,Landesliga,2,FALSE)</f>
        <v>ATSV Saarbrücken</v>
      </c>
      <c r="E12" s="18" t="s">
        <v>35</v>
      </c>
      <c r="F12" t="str">
        <f>VLOOKUP(5,Landesliga,2,FALSE)</f>
        <v>TTF Eppelborn </v>
      </c>
      <c r="G12" s="17">
        <f>IF(H12="Mo",Spieltage!$F$8,IF(H12="Di",Spieltage!$F$9,IF(H12="Mi",Spieltage!$F$10,IF(H12="Do",Spieltage!$F$11,IF(H12="Fr",Spieltage!$F$12,"")))))</f>
        <v>41649</v>
      </c>
      <c r="H12" t="str">
        <f>VLOOKUP(5,Landesliga,3,FALSE)</f>
        <v>Fr</v>
      </c>
      <c r="I12" s="19">
        <f>VLOOKUP(5,Landesliga,4,FALSE)</f>
        <v>0.8125</v>
      </c>
    </row>
    <row r="13" ht="12.75">
      <c r="E13" s="18"/>
    </row>
    <row r="14" spans="1:9" ht="12.75">
      <c r="A14" s="17">
        <f>IF(B14="Mo",Spieltage!$B$13,IF(B14="Di",Spieltage!$B$14,IF(B14="Mi",Spieltage!$B$15,IF(B14="Do",Spieltage!$B$16,IF(B14="Fr",Spieltage!$B$17,"")))))</f>
        <v>41537</v>
      </c>
      <c r="B14" t="str">
        <f>VLOOKUP(1,Landesliga,3,FALSE)</f>
        <v>Fr</v>
      </c>
      <c r="C14" s="19">
        <f>VLOOKUP(1,Landesliga,4,FALSE)</f>
        <v>0.7916666666666666</v>
      </c>
      <c r="D14" t="str">
        <f>VLOOKUP(1,Landesliga,2,FALSE)</f>
        <v>TTV Hasborn </v>
      </c>
      <c r="E14" s="18" t="s">
        <v>35</v>
      </c>
      <c r="F14" t="str">
        <f>VLOOKUP(3,Landesliga,2,FALSE)</f>
        <v>TTC Wallerfangen </v>
      </c>
      <c r="G14" s="17">
        <f>IF(H14="Mo",Spieltage!$F$13,IF(H14="Di",Spieltage!$F$14,IF(H14="Mi",Spieltage!$F$15,IF(H14="Do",Spieltage!$F$16,IF(H14="Fr",Spieltage!$F$17,"")))))</f>
        <v>41661</v>
      </c>
      <c r="H14" t="str">
        <f>VLOOKUP(3,Landesliga,3,FALSE)</f>
        <v>Mi</v>
      </c>
      <c r="I14" s="19">
        <f>VLOOKUP(3,Landesliga,4,FALSE)</f>
        <v>0.8125</v>
      </c>
    </row>
    <row r="15" spans="1:9" ht="12.75">
      <c r="A15" s="17">
        <f>IF(B15="Mo",Spieltage!$B$13,IF(B15="Di",Spieltage!$B$14,IF(B15="Mi",Spieltage!$B$15,IF(B15="Do",Spieltage!$B$16,IF(B15="Fr",Spieltage!$B$17,"")))))</f>
        <v>41534</v>
      </c>
      <c r="B15" t="str">
        <f>VLOOKUP(6,Landesliga,3,FALSE)</f>
        <v>Di</v>
      </c>
      <c r="C15" s="19">
        <f>VLOOKUP(6,Landesliga,4,FALSE)</f>
        <v>0.7916666666666666</v>
      </c>
      <c r="D15" t="str">
        <f>VLOOKUP(6,Landesliga,2,FALSE)</f>
        <v>TTC Dörsdorf   </v>
      </c>
      <c r="E15" s="18" t="s">
        <v>35</v>
      </c>
      <c r="F15" t="str">
        <f>VLOOKUP(10,Landesliga,2,FALSE)</f>
        <v>ATSV Saarbrücken</v>
      </c>
      <c r="G15" s="17">
        <f>IF(H15="Mo",Spieltage!$F$13,IF(H15="Di",Spieltage!$F$14,IF(H15="Mi",Spieltage!$F$15,IF(H15="Do",Spieltage!$F$16,IF(H15="Fr",Spieltage!$F$17,"")))))</f>
        <v>41663</v>
      </c>
      <c r="H15" t="str">
        <f>VLOOKUP(10,Landesliga,3,FALSE)</f>
        <v>Fr</v>
      </c>
      <c r="I15" s="19">
        <f>VLOOKUP(10,Landesliga,4,FALSE)</f>
        <v>0.8333333333333334</v>
      </c>
    </row>
    <row r="16" spans="1:9" ht="12.75">
      <c r="A16" s="17">
        <f>IF(B16="Mo",Spieltage!$B$13,IF(B16="Di",Spieltage!$B$14,IF(B16="Mi",Spieltage!$B$15,IF(B16="Do",Spieltage!$B$16,IF(B16="Fr",Spieltage!$B$17,"")))))</f>
        <v>41536</v>
      </c>
      <c r="B16" t="str">
        <f>VLOOKUP(7,Landesliga,3,FALSE)</f>
        <v>Do</v>
      </c>
      <c r="C16" s="19">
        <f>VLOOKUP(7,Landesliga,4,FALSE)</f>
        <v>0.8125</v>
      </c>
      <c r="D16" t="str">
        <f>VLOOKUP(7,Landesliga,2,FALSE)</f>
        <v>TTC Ensdorf</v>
      </c>
      <c r="E16" s="18" t="s">
        <v>35</v>
      </c>
      <c r="F16" t="str">
        <f>VLOOKUP(4,Landesliga,2,FALSE)</f>
        <v>MTTC Namborn</v>
      </c>
      <c r="G16" s="17">
        <f>IF(H16="Mo",Spieltage!$F$13,IF(H16="Di",Spieltage!$F$14,IF(H16="Mi",Spieltage!$F$15,IF(H16="Do",Spieltage!$F$16,IF(H16="Fr",Spieltage!$F$17,"")))))</f>
        <v>41662</v>
      </c>
      <c r="H16" t="str">
        <f>VLOOKUP(4,Landesliga,3,FALSE)</f>
        <v>Do</v>
      </c>
      <c r="I16" s="19">
        <f>VLOOKUP(4,Landesliga,4,FALSE)</f>
        <v>0.84375</v>
      </c>
    </row>
    <row r="17" spans="1:9" ht="12.75">
      <c r="A17" s="17">
        <f>IF(B17="Mo",Spieltage!$B$13,IF(B17="Di",Spieltage!$B$14,IF(B17="Mi",Spieltage!$B$15,IF(B17="Do",Spieltage!$B$16,IF(B17="Fr",Spieltage!$B$17,"")))))</f>
        <v>41534</v>
      </c>
      <c r="B17" t="str">
        <f>VLOOKUP(8,Landesliga,3,FALSE)</f>
        <v>Di</v>
      </c>
      <c r="C17" s="19">
        <f>VLOOKUP(8,Landesliga,4,FALSE)</f>
        <v>0.8125</v>
      </c>
      <c r="D17" t="str">
        <f>VLOOKUP(8,Landesliga,2,FALSE)</f>
        <v>TTC Püttlingen </v>
      </c>
      <c r="E17" s="18" t="s">
        <v>35</v>
      </c>
      <c r="F17" t="str">
        <f>VLOOKUP(5,Landesliga,2,FALSE)</f>
        <v>TTF Eppelborn </v>
      </c>
      <c r="G17" s="17">
        <f>IF(H17="Mo",Spieltage!$F$13,IF(H17="Di",Spieltage!$F$14,IF(H17="Mi",Spieltage!$F$15,IF(H17="Do",Spieltage!$F$16,IF(H17="Fr",Spieltage!$F$17,"")))))</f>
        <v>41663</v>
      </c>
      <c r="H17" t="str">
        <f>VLOOKUP(5,Landesliga,3,FALSE)</f>
        <v>Fr</v>
      </c>
      <c r="I17" s="19">
        <f>VLOOKUP(5,Landesliga,4,FALSE)</f>
        <v>0.8125</v>
      </c>
    </row>
    <row r="18" spans="1:9" ht="12.75">
      <c r="A18" s="17">
        <f>IF(B18="Mo",Spieltage!$B$13,IF(B18="Di",Spieltage!$B$14,IF(B18="Mi",Spieltage!$B$15,IF(B18="Do",Spieltage!$B$16,IF(B18="Fr",Spieltage!$B$17,"")))))</f>
        <v>41536</v>
      </c>
      <c r="B18" t="str">
        <f>VLOOKUP(9,Landesliga,3,FALSE)</f>
        <v>Do</v>
      </c>
      <c r="C18" s="19">
        <f>VLOOKUP(9,Landesliga,4,FALSE)</f>
        <v>0.8333333333333334</v>
      </c>
      <c r="D18" t="str">
        <f>VLOOKUP(9,Landesliga,2,FALSE)</f>
        <v>SG Merchweiler/TV Limbach</v>
      </c>
      <c r="E18" s="18" t="s">
        <v>35</v>
      </c>
      <c r="F18" t="str">
        <f>VLOOKUP(2,Landesliga,2,FALSE)</f>
        <v>TTC Saarwellingen </v>
      </c>
      <c r="G18" s="17">
        <f>IF(H18="Mo",Spieltage!$F$13,IF(H18="Di",Spieltage!$F$14,IF(H18="Mi",Spieltage!$F$15,IF(H18="Do",Spieltage!$F$16,IF(H18="Fr",Spieltage!$F$17,"")))))</f>
        <v>41660</v>
      </c>
      <c r="H18" t="str">
        <f>VLOOKUP(2,Landesliga,3,FALSE)</f>
        <v>Di</v>
      </c>
      <c r="I18" s="19" t="str">
        <f>VLOOKUP(2,Landesliga,4,FALSE)</f>
        <v>20.00</v>
      </c>
    </row>
    <row r="20" spans="1:9" ht="12.75">
      <c r="A20" s="17">
        <f>IF(B20="Mo",Spieltage!$B$18,IF(B20="Di",Spieltage!$B$19,IF(B20="Mi",Spieltage!$B$20,IF(B20="Do",Spieltage!$B$21,IF(B20="Fr",Spieltage!$B$22,"")))))</f>
        <v>41541</v>
      </c>
      <c r="B20" t="str">
        <f>VLOOKUP(2,Landesliga,3,FALSE)</f>
        <v>Di</v>
      </c>
      <c r="C20" s="19" t="str">
        <f>VLOOKUP(2,Landesliga,4,FALSE)</f>
        <v>20.00</v>
      </c>
      <c r="D20" t="str">
        <f>VLOOKUP(2,Landesliga,2,FALSE)</f>
        <v>TTC Saarwellingen </v>
      </c>
      <c r="E20" s="18" t="s">
        <v>35</v>
      </c>
      <c r="F20" t="str">
        <f>VLOOKUP(1,Landesliga,2,FALSE)</f>
        <v>TTV Hasborn </v>
      </c>
      <c r="G20" s="17">
        <f>IF(H20="Mo",Spieltage!$F$18,IF(H20="Di",Spieltage!$F$19,IF(H20="Mi",Spieltage!$F$20,IF(H20="Do",Spieltage!$F$21,IF(H20="Fr",Spieltage!$F$22,"")))))</f>
        <v>41670</v>
      </c>
      <c r="H20" t="str">
        <f>VLOOKUP(1,Landesliga,3,FALSE)</f>
        <v>Fr</v>
      </c>
      <c r="I20" s="19">
        <f>VLOOKUP(1,Landesliga,4,FALSE)</f>
        <v>0.7916666666666666</v>
      </c>
    </row>
    <row r="21" spans="1:9" ht="12.75">
      <c r="A21" s="17">
        <f>IF(B21="Mo",Spieltage!$B$18,IF(B21="Di",Spieltage!$B$19,IF(B21="Mi",Spieltage!$B$20,IF(B21="Do",Spieltage!$B$21,IF(B21="Fr",Spieltage!$B$22,"")))))</f>
        <v>41542</v>
      </c>
      <c r="B21" t="str">
        <f>VLOOKUP(3,Landesliga,3,FALSE)</f>
        <v>Mi</v>
      </c>
      <c r="C21" s="19">
        <f>VLOOKUP(3,Landesliga,4,FALSE)</f>
        <v>0.8125</v>
      </c>
      <c r="D21" t="str">
        <f>VLOOKUP(3,Landesliga,2,FALSE)</f>
        <v>TTC Wallerfangen </v>
      </c>
      <c r="E21" s="18" t="s">
        <v>35</v>
      </c>
      <c r="F21" t="str">
        <f>VLOOKUP(9,Landesliga,2,FALSE)</f>
        <v>SG Merchweiler/TV Limbach</v>
      </c>
      <c r="G21" s="17">
        <f>IF(H21="Mo",Spieltage!$F$18,IF(H21="Di",Spieltage!$F$19,IF(H21="Mi",Spieltage!$F$20,IF(H21="Do",Spieltage!$F$21,IF(H21="Fr",Spieltage!$F$22,"")))))</f>
        <v>41669</v>
      </c>
      <c r="H21" t="str">
        <f>VLOOKUP(9,Landesliga,3,FALSE)</f>
        <v>Do</v>
      </c>
      <c r="I21" s="19">
        <f>VLOOKUP(9,Landesliga,4,FALSE)</f>
        <v>0.8333333333333334</v>
      </c>
    </row>
    <row r="22" spans="1:9" ht="12.75">
      <c r="A22" s="17">
        <f>IF(B22="Mo",Spieltage!$B$18,IF(B22="Di",Spieltage!$B$19,IF(B22="Mi",Spieltage!$B$20,IF(B22="Do",Spieltage!$B$21,IF(B22="Fr",Spieltage!$B$22,"")))))</f>
        <v>41543</v>
      </c>
      <c r="B22" t="str">
        <f>VLOOKUP(4,Landesliga,3,FALSE)</f>
        <v>Do</v>
      </c>
      <c r="C22" s="19">
        <f>VLOOKUP(4,Landesliga,4,FALSE)</f>
        <v>0.84375</v>
      </c>
      <c r="D22" t="str">
        <f>VLOOKUP(4,Landesliga,2,FALSE)</f>
        <v>MTTC Namborn</v>
      </c>
      <c r="E22" s="18" t="s">
        <v>35</v>
      </c>
      <c r="F22" t="str">
        <f>VLOOKUP(8,Landesliga,2,FALSE)</f>
        <v>TTC Püttlingen </v>
      </c>
      <c r="G22" s="17">
        <f>IF(H22="Mo",Spieltage!$F$18,IF(H22="Di",Spieltage!$F$19,IF(H22="Mi",Spieltage!$F$20,IF(H22="Do",Spieltage!$F$21,IF(H22="Fr",Spieltage!$F$22,"")))))</f>
        <v>41667</v>
      </c>
      <c r="H22" t="str">
        <f>VLOOKUP(8,Landesliga,3,FALSE)</f>
        <v>Di</v>
      </c>
      <c r="I22" s="19">
        <f>VLOOKUP(8,Landesliga,4,FALSE)</f>
        <v>0.8125</v>
      </c>
    </row>
    <row r="23" spans="1:9" ht="12.75">
      <c r="A23" s="17">
        <f>IF(B23="Mo",Spieltage!$B$18,IF(B23="Di",Spieltage!$B$19,IF(B23="Mi",Spieltage!$B$20,IF(B23="Do",Spieltage!$B$21,IF(B23="Fr",Spieltage!$B$22,"")))))</f>
        <v>41544</v>
      </c>
      <c r="B23" t="str">
        <f>VLOOKUP(5,Landesliga,3,FALSE)</f>
        <v>Fr</v>
      </c>
      <c r="C23" s="19">
        <f>VLOOKUP(5,Landesliga,4,FALSE)</f>
        <v>0.8125</v>
      </c>
      <c r="D23" t="str">
        <f>VLOOKUP(5,Landesliga,2,FALSE)</f>
        <v>TTF Eppelborn </v>
      </c>
      <c r="E23" s="18" t="s">
        <v>35</v>
      </c>
      <c r="F23" t="str">
        <f>VLOOKUP(6,Landesliga,2,FALSE)</f>
        <v>TTC Dörsdorf   </v>
      </c>
      <c r="G23" s="17">
        <f>IF(H23="Mo",Spieltage!$F$18,IF(H23="Di",Spieltage!$F$19,IF(H23="Mi",Spieltage!$F$20,IF(H23="Do",Spieltage!$F$21,IF(H23="Fr",Spieltage!$F$22,"")))))</f>
        <v>41667</v>
      </c>
      <c r="H23" t="str">
        <f>VLOOKUP(6,Landesliga,3,FALSE)</f>
        <v>Di</v>
      </c>
      <c r="I23" s="19">
        <f>VLOOKUP(6,Landesliga,4,FALSE)</f>
        <v>0.7916666666666666</v>
      </c>
    </row>
    <row r="24" spans="1:9" ht="12.75">
      <c r="A24" s="17">
        <f>IF(B24="Mo",Spieltage!$B$18,IF(B24="Di",Spieltage!$B$19,IF(B24="Mi",Spieltage!$B$20,IF(B24="Do",Spieltage!$B$21,IF(B24="Fr",Spieltage!$B$22,"")))))</f>
        <v>41544</v>
      </c>
      <c r="B24" t="str">
        <f>VLOOKUP(10,Landesliga,3,FALSE)</f>
        <v>Fr</v>
      </c>
      <c r="C24" s="19">
        <f>VLOOKUP(10,Landesliga,4,FALSE)</f>
        <v>0.8333333333333334</v>
      </c>
      <c r="D24" t="str">
        <f>VLOOKUP(10,Landesliga,2,FALSE)</f>
        <v>ATSV Saarbrücken</v>
      </c>
      <c r="E24" s="18" t="s">
        <v>35</v>
      </c>
      <c r="F24" t="str">
        <f>VLOOKUP(7,Landesliga,2,FALSE)</f>
        <v>TTC Ensdorf</v>
      </c>
      <c r="G24" s="17">
        <f>IF(H24="Mo",Spieltage!$F$18,IF(H24="Di",Spieltage!$F$19,IF(H24="Mi",Spieltage!$F$20,IF(H24="Do",Spieltage!$F$21,IF(H24="Fr",Spieltage!$F$22,"")))))</f>
        <v>41669</v>
      </c>
      <c r="H24" t="str">
        <f>VLOOKUP(7,Landesliga,3,FALSE)</f>
        <v>Do</v>
      </c>
      <c r="I24" s="19">
        <f>VLOOKUP(7,Landesliga,4,FALSE)</f>
        <v>0.8125</v>
      </c>
    </row>
    <row r="26" spans="1:9" ht="12.75">
      <c r="A26" s="17">
        <f>IF(B26="Mo",Spieltage!$B$23,IF(B26="Di",Spieltage!$B$24,IF(B26="Mi",Spieltage!$B$25,IF(B26="Do",Spieltage!$B$26,IF(B26="Fr",Spieltage!$B$27,"")))))</f>
        <v>41558</v>
      </c>
      <c r="B26" t="str">
        <f>VLOOKUP(1,Landesliga,3,FALSE)</f>
        <v>Fr</v>
      </c>
      <c r="C26" s="19">
        <f>VLOOKUP(1,Landesliga,4,FALSE)</f>
        <v>0.7916666666666666</v>
      </c>
      <c r="D26" t="str">
        <f>VLOOKUP(1,Landesliga,2,FALSE)</f>
        <v>TTV Hasborn </v>
      </c>
      <c r="E26" s="18" t="s">
        <v>35</v>
      </c>
      <c r="F26" t="str">
        <f>VLOOKUP(6,Landesliga,2,FALSE)</f>
        <v>TTC Dörsdorf   </v>
      </c>
      <c r="G26" s="17">
        <f>IF(H26="Mo",Spieltage!$F$23,IF(H26="Di",Spieltage!$F$24,IF(H26="Mi",Spieltage!$F$25,IF(H26="Do",Spieltage!$F$26,IF(H26="Fr",Spieltage!$F$27,"")))))</f>
        <v>41674</v>
      </c>
      <c r="H26" t="str">
        <f>VLOOKUP(6,Landesliga,3,FALSE)</f>
        <v>Di</v>
      </c>
      <c r="I26" s="19">
        <f>VLOOKUP(6,Landesliga,4,FALSE)</f>
        <v>0.7916666666666666</v>
      </c>
    </row>
    <row r="27" spans="1:9" ht="12.75">
      <c r="A27" s="17">
        <f>IF(B27="Mo",Spieltage!$B$23,IF(B27="Di",Spieltage!$B$24,IF(B27="Mi",Spieltage!$B$25,IF(B27="Do",Spieltage!$B$26,IF(B27="Fr",Spieltage!$B$27,"")))))</f>
        <v>41555</v>
      </c>
      <c r="B27" t="str">
        <f>VLOOKUP(2,Landesliga,3,FALSE)</f>
        <v>Di</v>
      </c>
      <c r="C27" s="19" t="str">
        <f>VLOOKUP(2,Landesliga,4,FALSE)</f>
        <v>20.00</v>
      </c>
      <c r="D27" t="str">
        <f>VLOOKUP(2,Landesliga,2,FALSE)</f>
        <v>TTC Saarwellingen </v>
      </c>
      <c r="E27" s="18" t="s">
        <v>35</v>
      </c>
      <c r="F27" t="str">
        <f>VLOOKUP(3,Landesliga,2,FALSE)</f>
        <v>TTC Wallerfangen </v>
      </c>
      <c r="G27" s="17">
        <f>IF(H27="Mo",Spieltage!$F$23,IF(H27="Di",Spieltage!$F$24,IF(H27="Mi",Spieltage!$F$25,IF(H27="Do",Spieltage!$F$26,IF(H27="Fr",Spieltage!$F$27,"")))))</f>
        <v>41675</v>
      </c>
      <c r="H27" t="str">
        <f>VLOOKUP(3,Landesliga,3,FALSE)</f>
        <v>Mi</v>
      </c>
      <c r="I27" s="19">
        <f>VLOOKUP(3,Landesliga,4,FALSE)</f>
        <v>0.8125</v>
      </c>
    </row>
    <row r="28" spans="1:9" ht="12.75">
      <c r="A28" s="17">
        <f>IF(B28="Mo",Spieltage!$B$23,IF(B28="Di",Spieltage!$B$24,IF(B28="Mi",Spieltage!$B$25,IF(B28="Do",Spieltage!$B$26,IF(B28="Fr",Spieltage!$B$27,"")))))</f>
        <v>41557</v>
      </c>
      <c r="B28" t="str">
        <f>VLOOKUP(7,Landesliga,3,FALSE)</f>
        <v>Do</v>
      </c>
      <c r="C28" s="19">
        <f>VLOOKUP(7,Landesliga,4,FALSE)</f>
        <v>0.8125</v>
      </c>
      <c r="D28" t="str">
        <f>VLOOKUP(7,Landesliga,2,FALSE)</f>
        <v>TTC Ensdorf</v>
      </c>
      <c r="E28" s="18" t="s">
        <v>35</v>
      </c>
      <c r="F28" t="str">
        <f>VLOOKUP(5,Landesliga,2,FALSE)</f>
        <v>TTF Eppelborn </v>
      </c>
      <c r="G28" s="17">
        <f>IF(H28="Mo",Spieltage!$F$23,IF(H28="Di",Spieltage!$F$24,IF(H28="Mi",Spieltage!$F$25,IF(H28="Do",Spieltage!$F$26,IF(H28="Fr",Spieltage!$F$27,"")))))</f>
        <v>41677</v>
      </c>
      <c r="H28" t="str">
        <f>VLOOKUP(5,Landesliga,3,FALSE)</f>
        <v>Fr</v>
      </c>
      <c r="I28" s="19">
        <f>VLOOKUP(5,Landesliga,4,FALSE)</f>
        <v>0.8125</v>
      </c>
    </row>
    <row r="29" spans="1:9" ht="12.75">
      <c r="A29" s="17">
        <f>IF(B29="Mo",Spieltage!$B$23,IF(B29="Di",Spieltage!$B$24,IF(B29="Mi",Spieltage!$B$25,IF(B29="Do",Spieltage!$B$26,IF(B29="Fr",Spieltage!$B$27,"")))))</f>
        <v>41555</v>
      </c>
      <c r="B29" t="str">
        <f>VLOOKUP(8,Landesliga,3,FALSE)</f>
        <v>Di</v>
      </c>
      <c r="C29" s="19">
        <f>VLOOKUP(8,Landesliga,4,FALSE)</f>
        <v>0.8125</v>
      </c>
      <c r="D29" t="str">
        <f>VLOOKUP(8,Landesliga,2,FALSE)</f>
        <v>TTC Püttlingen </v>
      </c>
      <c r="E29" s="18" t="s">
        <v>35</v>
      </c>
      <c r="F29" t="str">
        <f>VLOOKUP(10,Landesliga,2,FALSE)</f>
        <v>ATSV Saarbrücken</v>
      </c>
      <c r="G29" s="17">
        <f>IF(H29="Mo",Spieltage!$F$23,IF(H29="Di",Spieltage!$F$24,IF(H29="Mi",Spieltage!$F$25,IF(H29="Do",Spieltage!$F$26,IF(H29="Fr",Spieltage!$F$27,"")))))</f>
        <v>41677</v>
      </c>
      <c r="H29" t="str">
        <f>VLOOKUP(10,Landesliga,3,FALSE)</f>
        <v>Fr</v>
      </c>
      <c r="I29" s="19">
        <f>VLOOKUP(10,Landesliga,4,FALSE)</f>
        <v>0.8333333333333334</v>
      </c>
    </row>
    <row r="30" spans="1:9" ht="12.75">
      <c r="A30" s="17">
        <f>IF(B30="Mo",Spieltage!$B$23,IF(B30="Di",Spieltage!$B$24,IF(B30="Mi",Spieltage!$B$25,IF(B30="Do",Spieltage!$B$26,IF(B30="Fr",Spieltage!$B$27,"")))))</f>
        <v>41557</v>
      </c>
      <c r="B30" t="str">
        <f>VLOOKUP(9,Landesliga,3,FALSE)</f>
        <v>Do</v>
      </c>
      <c r="C30" s="19">
        <f>VLOOKUP(9,Landesliga,4,FALSE)</f>
        <v>0.8333333333333334</v>
      </c>
      <c r="D30" t="str">
        <f>VLOOKUP(9,Landesliga,2,FALSE)</f>
        <v>SG Merchweiler/TV Limbach</v>
      </c>
      <c r="E30" s="18" t="s">
        <v>35</v>
      </c>
      <c r="F30" t="str">
        <f>VLOOKUP(4,Landesliga,2,FALSE)</f>
        <v>MTTC Namborn</v>
      </c>
      <c r="G30" s="17">
        <f>IF(H30="Mo",Spieltage!$F$23,IF(H30="Di",Spieltage!$F$24,IF(H30="Mi",Spieltage!$F$25,IF(H30="Do",Spieltage!$F$26,IF(H30="Fr",Spieltage!$F$27,"")))))</f>
        <v>41676</v>
      </c>
      <c r="H30" t="str">
        <f>VLOOKUP(4,Landesliga,3,FALSE)</f>
        <v>Do</v>
      </c>
      <c r="I30" s="19">
        <f>VLOOKUP(4,Landesliga,4,FALSE)</f>
        <v>0.84375</v>
      </c>
    </row>
    <row r="32" spans="1:9" ht="12.75">
      <c r="A32" s="17">
        <f>IF(B32="Mo",Spieltage!$B$28,IF(B32="Di",Spieltage!$B$29,IF(B32="Mi",Spieltage!$B$30,IF(B32="Do",Spieltage!$B$31,IF(B32="Fr",Spieltage!$B$32,"")))))</f>
        <v>41563</v>
      </c>
      <c r="B32" t="str">
        <f>VLOOKUP(3,Landesliga,3,FALSE)</f>
        <v>Mi</v>
      </c>
      <c r="C32" s="19">
        <f>VLOOKUP(3,Landesliga,4,FALSE)</f>
        <v>0.8125</v>
      </c>
      <c r="D32" t="str">
        <f>VLOOKUP(3,Landesliga,2,FALSE)</f>
        <v>TTC Wallerfangen </v>
      </c>
      <c r="E32" s="18" t="s">
        <v>35</v>
      </c>
      <c r="F32" t="str">
        <f>VLOOKUP(8,Landesliga,2,FALSE)</f>
        <v>TTC Püttlingen </v>
      </c>
      <c r="G32" s="17">
        <f>IF(H32="Mo",Spieltage!$F$28,IF(H32="Di",Spieltage!$F$29,IF(H32="Mi",Spieltage!$F$30,IF(H32="Do",Spieltage!$F$31,IF(H32="Fr",Spieltage!$F$32,"")))))</f>
        <v>41681</v>
      </c>
      <c r="H32" t="str">
        <f>VLOOKUP(8,Landesliga,3,FALSE)</f>
        <v>Di</v>
      </c>
      <c r="I32" s="19">
        <f>VLOOKUP(8,Landesliga,4,FALSE)</f>
        <v>0.8125</v>
      </c>
    </row>
    <row r="33" spans="1:9" ht="12.75">
      <c r="A33" s="17">
        <f>IF(B33="Mo",Spieltage!$B$28,IF(B33="Di",Spieltage!$B$29,IF(B33="Mi",Spieltage!$B$30,IF(B33="Do",Spieltage!$B$31,IF(B33="Fr",Spieltage!$B$32,"")))))</f>
        <v>41564</v>
      </c>
      <c r="B33" t="str">
        <f>VLOOKUP(4,Landesliga,3,FALSE)</f>
        <v>Do</v>
      </c>
      <c r="C33" s="19">
        <f>VLOOKUP(4,Landesliga,4,FALSE)</f>
        <v>0.84375</v>
      </c>
      <c r="D33" t="str">
        <f>VLOOKUP(4,Landesliga,2,FALSE)</f>
        <v>MTTC Namborn</v>
      </c>
      <c r="E33" s="18" t="s">
        <v>35</v>
      </c>
      <c r="F33" t="str">
        <f>VLOOKUP(2,Landesliga,2,FALSE)</f>
        <v>TTC Saarwellingen </v>
      </c>
      <c r="G33" s="17">
        <f>IF(H33="Mo",Spieltage!$F$28,IF(H33="Di",Spieltage!$F$29,IF(H33="Mi",Spieltage!$F$30,IF(H33="Do",Spieltage!$F$31,IF(H33="Fr",Spieltage!$F$32,"")))))</f>
        <v>41681</v>
      </c>
      <c r="H33" t="str">
        <f>VLOOKUP(2,Landesliga,3,FALSE)</f>
        <v>Di</v>
      </c>
      <c r="I33" s="19" t="str">
        <f>VLOOKUP(2,Landesliga,4,FALSE)</f>
        <v>20.00</v>
      </c>
    </row>
    <row r="34" spans="1:9" ht="12.75">
      <c r="A34" s="17">
        <f>IF(B34="Mo",Spieltage!$B$28,IF(B34="Di",Spieltage!$B$29,IF(B34="Mi",Spieltage!$B$30,IF(B34="Do",Spieltage!$B$31,IF(B34="Fr",Spieltage!$B$32,"")))))</f>
        <v>41565</v>
      </c>
      <c r="B34" t="str">
        <f>VLOOKUP(5,Landesliga,3,FALSE)</f>
        <v>Fr</v>
      </c>
      <c r="C34" s="19">
        <f>VLOOKUP(5,Landesliga,4,FALSE)</f>
        <v>0.8125</v>
      </c>
      <c r="D34" t="str">
        <f>VLOOKUP(5,Landesliga,2,FALSE)</f>
        <v>TTF Eppelborn </v>
      </c>
      <c r="E34" s="18" t="s">
        <v>35</v>
      </c>
      <c r="F34" t="str">
        <f>VLOOKUP(9,Landesliga,2,FALSE)</f>
        <v>SG Merchweiler/TV Limbach</v>
      </c>
      <c r="G34" s="17">
        <f>IF(H34="Mo",Spieltage!$F$28,IF(H34="Di",Spieltage!$F$29,IF(H34="Mi",Spieltage!$F$30,IF(H34="Do",Spieltage!$F$31,IF(H34="Fr",Spieltage!$F$32,"")))))</f>
        <v>41683</v>
      </c>
      <c r="H34" t="str">
        <f>VLOOKUP(9,Landesliga,3,FALSE)</f>
        <v>Do</v>
      </c>
      <c r="I34" s="19">
        <f>VLOOKUP(9,Landesliga,4,FALSE)</f>
        <v>0.8333333333333334</v>
      </c>
    </row>
    <row r="35" spans="1:9" ht="12.75">
      <c r="A35" s="17">
        <f>IF(B35="Mo",Spieltage!$B$28,IF(B35="Di",Spieltage!$B$29,IF(B35="Mi",Spieltage!$B$30,IF(B35="Do",Spieltage!$B$31,IF(B35="Fr",Spieltage!$B$32,"")))))</f>
        <v>41562</v>
      </c>
      <c r="B35" t="str">
        <f>VLOOKUP(6,Landesliga,3,FALSE)</f>
        <v>Di</v>
      </c>
      <c r="C35" s="19">
        <f>VLOOKUP(6,Landesliga,4,FALSE)</f>
        <v>0.7916666666666666</v>
      </c>
      <c r="D35" t="str">
        <f>VLOOKUP(6,Landesliga,2,FALSE)</f>
        <v>TTC Dörsdorf   </v>
      </c>
      <c r="E35" s="18" t="s">
        <v>35</v>
      </c>
      <c r="F35" t="str">
        <f>VLOOKUP(7,Landesliga,2,FALSE)</f>
        <v>TTC Ensdorf</v>
      </c>
      <c r="G35" s="17">
        <f>IF(H35="Mo",Spieltage!$F$28,IF(H35="Di",Spieltage!$F$29,IF(H35="Mi",Spieltage!$F$30,IF(H35="Do",Spieltage!$F$31,IF(H35="Fr",Spieltage!$F$32,"")))))</f>
        <v>41683</v>
      </c>
      <c r="H35" t="str">
        <f>VLOOKUP(7,Landesliga,3,FALSE)</f>
        <v>Do</v>
      </c>
      <c r="I35" s="19">
        <f>VLOOKUP(7,Landesliga,4,FALSE)</f>
        <v>0.8125</v>
      </c>
    </row>
    <row r="36" spans="1:9" ht="12.75">
      <c r="A36" s="17">
        <f>IF(B36="Mo",Spieltage!$B$28,IF(B36="Di",Spieltage!$B$29,IF(B36="Mi",Spieltage!$B$30,IF(B36="Do",Spieltage!$B$31,IF(B36="Fr",Spieltage!$B$32,"")))))</f>
        <v>41565</v>
      </c>
      <c r="B36" t="str">
        <f>VLOOKUP(10,Landesliga,3,FALSE)</f>
        <v>Fr</v>
      </c>
      <c r="C36" s="19">
        <f>VLOOKUP(10,Landesliga,4,FALSE)</f>
        <v>0.8333333333333334</v>
      </c>
      <c r="D36" t="str">
        <f>VLOOKUP(10,Landesliga,2,FALSE)</f>
        <v>ATSV Saarbrücken</v>
      </c>
      <c r="E36" s="18" t="s">
        <v>35</v>
      </c>
      <c r="F36" t="str">
        <f>VLOOKUP(1,Landesliga,2,FALSE)</f>
        <v>TTV Hasborn </v>
      </c>
      <c r="G36" s="17">
        <f>IF(H36="Mo",Spieltage!$F$28,IF(H36="Di",Spieltage!$F$29,IF(H36="Mi",Spieltage!$F$30,IF(H36="Do",Spieltage!$F$31,IF(H36="Fr",Spieltage!$F$32,"")))))</f>
        <v>41684</v>
      </c>
      <c r="H36" t="str">
        <f>VLOOKUP(1,Landesliga,3,FALSE)</f>
        <v>Fr</v>
      </c>
      <c r="I36" s="19">
        <f>VLOOKUP(1,Landesliga,4,FALSE)</f>
        <v>0.7916666666666666</v>
      </c>
    </row>
    <row r="38" spans="1:9" ht="12.75">
      <c r="A38" s="17">
        <f>IF(B38="Mo",Spieltage!$B$33,IF(B38="Di",Spieltage!$B$34,IF(B38="Mi",Spieltage!$B$35,IF(B38="Do",Spieltage!$B$36,IF(B38="Fr",Spieltage!$B$37,"")))))</f>
        <v>41586</v>
      </c>
      <c r="B38" t="str">
        <f>VLOOKUP(1,Landesliga,3,FALSE)</f>
        <v>Fr</v>
      </c>
      <c r="C38" s="19">
        <f>VLOOKUP(1,Landesliga,4,FALSE)</f>
        <v>0.7916666666666666</v>
      </c>
      <c r="D38" t="str">
        <f>VLOOKUP(1,Landesliga,2,FALSE)</f>
        <v>TTV Hasborn </v>
      </c>
      <c r="E38" s="18" t="s">
        <v>35</v>
      </c>
      <c r="F38" t="str">
        <f>VLOOKUP(5,Landesliga,2,FALSE)</f>
        <v>TTF Eppelborn </v>
      </c>
      <c r="G38" s="17">
        <f>IF(H38="Mo",Spieltage!$F$33,IF(H38="Di",Spieltage!$F$34,IF(H38="Mi",Spieltage!$F$35,IF(H38="Do",Spieltage!$F$36,IF(H38="Fr",Spieltage!$F$37,"")))))</f>
        <v>41691</v>
      </c>
      <c r="H38" t="str">
        <f>VLOOKUP(5,Landesliga,3,FALSE)</f>
        <v>Fr</v>
      </c>
      <c r="I38" s="19">
        <f>VLOOKUP(5,Landesliga,4,FALSE)</f>
        <v>0.8125</v>
      </c>
    </row>
    <row r="39" spans="1:9" ht="12.75">
      <c r="A39" s="17">
        <f>IF(B39="Mo",Spieltage!$B$33,IF(B39="Di",Spieltage!$B$34,IF(B39="Mi",Spieltage!$B$35,IF(B39="Do",Spieltage!$B$36,IF(B39="Fr",Spieltage!$B$37,"")))))</f>
        <v>41583</v>
      </c>
      <c r="B39" t="str">
        <f>VLOOKUP(2,Landesliga,3,FALSE)</f>
        <v>Di</v>
      </c>
      <c r="C39" s="19" t="str">
        <f>VLOOKUP(2,Landesliga,4,FALSE)</f>
        <v>20.00</v>
      </c>
      <c r="D39" t="str">
        <f>VLOOKUP(2,Landesliga,2,FALSE)</f>
        <v>TTC Saarwellingen </v>
      </c>
      <c r="E39" s="18" t="s">
        <v>35</v>
      </c>
      <c r="F39" t="str">
        <f>VLOOKUP(10,Landesliga,2,FALSE)</f>
        <v>ATSV Saarbrücken</v>
      </c>
      <c r="G39" s="17">
        <f>IF(H39="Mo",Spieltage!$F$33,IF(H39="Di",Spieltage!$F$34,IF(H39="Mi",Spieltage!$F$35,IF(H39="Do",Spieltage!$F$36,IF(H39="Fr",Spieltage!$F$37,"")))))</f>
        <v>41691</v>
      </c>
      <c r="H39" t="str">
        <f>VLOOKUP(10,Landesliga,3,FALSE)</f>
        <v>Fr</v>
      </c>
      <c r="I39" s="19">
        <f>VLOOKUP(10,Landesliga,4,FALSE)</f>
        <v>0.8333333333333334</v>
      </c>
    </row>
    <row r="40" spans="1:9" ht="12.75">
      <c r="A40" s="17">
        <f>IF(B40="Mo",Spieltage!$B$33,IF(B40="Di",Spieltage!$B$34,IF(B40="Mi",Spieltage!$B$35,IF(B40="Do",Spieltage!$B$36,IF(B40="Fr",Spieltage!$B$37,"")))))</f>
        <v>41584</v>
      </c>
      <c r="B40" t="str">
        <f>VLOOKUP(3,Landesliga,3,FALSE)</f>
        <v>Mi</v>
      </c>
      <c r="C40" s="19">
        <f>VLOOKUP(3,Landesliga,4,FALSE)</f>
        <v>0.8125</v>
      </c>
      <c r="D40" t="str">
        <f>VLOOKUP(3,Landesliga,2,FALSE)</f>
        <v>TTC Wallerfangen </v>
      </c>
      <c r="E40" s="18" t="s">
        <v>35</v>
      </c>
      <c r="F40" t="str">
        <f>VLOOKUP(4,Landesliga,2,FALSE)</f>
        <v>MTTC Namborn</v>
      </c>
      <c r="G40" s="17">
        <f>IF(H40="Mo",Spieltage!$F$33,IF(H40="Di",Spieltage!$F$34,IF(H40="Mi",Spieltage!$F$35,IF(H40="Do",Spieltage!$F$36,IF(H40="Fr",Spieltage!$F$37,"")))))</f>
        <v>41690</v>
      </c>
      <c r="H40" t="str">
        <f>VLOOKUP(4,Landesliga,3,FALSE)</f>
        <v>Do</v>
      </c>
      <c r="I40" s="19">
        <f>VLOOKUP(4,Landesliga,4,FALSE)</f>
        <v>0.84375</v>
      </c>
    </row>
    <row r="41" spans="1:9" ht="12.75">
      <c r="A41" s="17">
        <f>IF(B41="Mo",Spieltage!$B$33,IF(B41="Di",Spieltage!$B$34,IF(B41="Mi",Spieltage!$B$35,IF(B41="Do",Spieltage!$B$36,IF(B41="Fr",Spieltage!$B$37,"")))))</f>
        <v>41583</v>
      </c>
      <c r="B41" t="str">
        <f>VLOOKUP(8,Landesliga,3,FALSE)</f>
        <v>Di</v>
      </c>
      <c r="C41" s="19">
        <f>VLOOKUP(8,Landesliga,4,FALSE)</f>
        <v>0.8125</v>
      </c>
      <c r="D41" t="str">
        <f>VLOOKUP(8,Landesliga,2,FALSE)</f>
        <v>TTC Püttlingen </v>
      </c>
      <c r="E41" s="18" t="s">
        <v>35</v>
      </c>
      <c r="F41" t="str">
        <f>VLOOKUP(7,Landesliga,2,FALSE)</f>
        <v>TTC Ensdorf</v>
      </c>
      <c r="G41" s="17">
        <f>IF(H41="Mo",Spieltage!$F$33,IF(H41="Di",Spieltage!$F$34,IF(H41="Mi",Spieltage!$F$35,IF(H41="Do",Spieltage!$F$36,IF(H41="Fr",Spieltage!$F$37,"")))))</f>
        <v>41690</v>
      </c>
      <c r="H41" t="str">
        <f>VLOOKUP(7,Landesliga,3,FALSE)</f>
        <v>Do</v>
      </c>
      <c r="I41" s="19">
        <f>VLOOKUP(7,Landesliga,4,FALSE)</f>
        <v>0.8125</v>
      </c>
    </row>
    <row r="42" spans="1:9" ht="12.75">
      <c r="A42" s="17">
        <f>IF(B42="Mo",Spieltage!$B$33,IF(B42="Di",Spieltage!$B$34,IF(B42="Mi",Spieltage!$B$35,IF(B42="Do",Spieltage!$B$36,IF(B42="Fr",Spieltage!$B$37,"")))))</f>
        <v>41585</v>
      </c>
      <c r="B42" t="str">
        <f>VLOOKUP(9,Landesliga,3,FALSE)</f>
        <v>Do</v>
      </c>
      <c r="C42" s="19">
        <f>VLOOKUP(9,Landesliga,4,FALSE)</f>
        <v>0.8333333333333334</v>
      </c>
      <c r="D42" t="str">
        <f>VLOOKUP(9,Landesliga,2,FALSE)</f>
        <v>SG Merchweiler/TV Limbach</v>
      </c>
      <c r="E42" s="18" t="s">
        <v>35</v>
      </c>
      <c r="F42" t="str">
        <f>VLOOKUP(6,Landesliga,2,FALSE)</f>
        <v>TTC Dörsdorf   </v>
      </c>
      <c r="G42" s="17">
        <f>IF(H42="Mo",Spieltage!$F$33,IF(H42="Di",Spieltage!$F$34,IF(H42="Mi",Spieltage!$F$35,IF(H42="Do",Spieltage!$F$36,IF(H42="Fr",Spieltage!$F$37,"")))))</f>
        <v>41688</v>
      </c>
      <c r="H42" t="str">
        <f>VLOOKUP(6,Landesliga,3,FALSE)</f>
        <v>Di</v>
      </c>
      <c r="I42" s="19">
        <f>VLOOKUP(6,Landesliga,4,FALSE)</f>
        <v>0.7916666666666666</v>
      </c>
    </row>
    <row r="44" spans="1:9" ht="12.75">
      <c r="A44" s="17">
        <f>IF(B44="Mo",Spieltage!$B$38,IF(B44="Di",Spieltage!$B$39,IF(B44="Mi",Spieltage!$B$40,IF(B44="Do",Spieltage!$B$41,IF(B44="Fr",Spieltage!$B$42,"")))))</f>
        <v>41592</v>
      </c>
      <c r="B44" t="str">
        <f>VLOOKUP(4,Landesliga,3,FALSE)</f>
        <v>Do</v>
      </c>
      <c r="C44" s="19">
        <f>VLOOKUP(4,Landesliga,4,FALSE)</f>
        <v>0.84375</v>
      </c>
      <c r="D44" t="str">
        <f>VLOOKUP(4,Landesliga,2,FALSE)</f>
        <v>MTTC Namborn</v>
      </c>
      <c r="E44" s="18" t="s">
        <v>35</v>
      </c>
      <c r="F44" t="str">
        <f>VLOOKUP(1,Landesliga,2,FALSE)</f>
        <v>TTV Hasborn </v>
      </c>
      <c r="G44" s="17">
        <f>IF(H44="Mo",Spieltage!$F$38,IF(H44="Di",Spieltage!$F$39,IF(H44="Mi",Spieltage!$F$40,IF(H44="Do",Spieltage!$F$41,IF(H44="Fr",Spieltage!$F$42,"")))))</f>
        <v>41712</v>
      </c>
      <c r="H44" t="str">
        <f>VLOOKUP(1,Landesliga,3,FALSE)</f>
        <v>Fr</v>
      </c>
      <c r="I44" s="19">
        <f>VLOOKUP(1,Landesliga,4,FALSE)</f>
        <v>0.7916666666666666</v>
      </c>
    </row>
    <row r="45" spans="1:9" ht="12.75">
      <c r="A45" s="17">
        <f>IF(B45="Mo",Spieltage!$B$38,IF(B45="Di",Spieltage!$B$39,IF(B45="Mi",Spieltage!$B$40,IF(B45="Do",Spieltage!$B$41,IF(B45="Fr",Spieltage!$B$42,"")))))</f>
        <v>41593</v>
      </c>
      <c r="B45" t="str">
        <f>VLOOKUP(5,Landesliga,3,FALSE)</f>
        <v>Fr</v>
      </c>
      <c r="C45" s="19">
        <f>VLOOKUP(5,Landesliga,4,FALSE)</f>
        <v>0.8125</v>
      </c>
      <c r="D45" t="str">
        <f>VLOOKUP(5,Landesliga,2,FALSE)</f>
        <v>TTF Eppelborn </v>
      </c>
      <c r="E45" s="18" t="s">
        <v>35</v>
      </c>
      <c r="F45" t="str">
        <f>VLOOKUP(2,Landesliga,2,FALSE)</f>
        <v>TTC Saarwellingen </v>
      </c>
      <c r="G45" s="17">
        <f>IF(H45="Mo",Spieltage!$F$38,IF(H45="Di",Spieltage!$F$39,IF(H45="Mi",Spieltage!$F$40,IF(H45="Do",Spieltage!$F$41,IF(H45="Fr",Spieltage!$F$42,"")))))</f>
        <v>41709</v>
      </c>
      <c r="H45" t="str">
        <f>VLOOKUP(2,Landesliga,3,FALSE)</f>
        <v>Di</v>
      </c>
      <c r="I45" s="19" t="str">
        <f>VLOOKUP(2,Landesliga,4,FALSE)</f>
        <v>20.00</v>
      </c>
    </row>
    <row r="46" spans="1:9" ht="12.75">
      <c r="A46" s="17">
        <f>IF(B46="Mo",Spieltage!$B$38,IF(B46="Di",Spieltage!$B$39,IF(B46="Mi",Spieltage!$B$40,IF(B46="Do",Spieltage!$B$41,IF(B46="Fr",Spieltage!$B$42,"")))))</f>
        <v>41590</v>
      </c>
      <c r="B46" t="str">
        <f>VLOOKUP(6,Landesliga,3,FALSE)</f>
        <v>Di</v>
      </c>
      <c r="C46" s="19">
        <f>VLOOKUP(6,Landesliga,4,FALSE)</f>
        <v>0.7916666666666666</v>
      </c>
      <c r="D46" t="str">
        <f>VLOOKUP(6,Landesliga,2,FALSE)</f>
        <v>TTC Dörsdorf   </v>
      </c>
      <c r="E46" s="18" t="s">
        <v>35</v>
      </c>
      <c r="F46" t="str">
        <f>VLOOKUP(8,Landesliga,2,FALSE)</f>
        <v>TTC Püttlingen </v>
      </c>
      <c r="G46" s="17">
        <f>IF(H46="Mo",Spieltage!$F$38,IF(H46="Di",Spieltage!$F$39,IF(H46="Mi",Spieltage!$F$40,IF(H46="Do",Spieltage!$F$41,IF(H46="Fr",Spieltage!$F$42,"")))))</f>
        <v>41709</v>
      </c>
      <c r="H46" t="str">
        <f>VLOOKUP(8,Landesliga,3,FALSE)</f>
        <v>Di</v>
      </c>
      <c r="I46" s="19">
        <f>VLOOKUP(8,Landesliga,4,FALSE)</f>
        <v>0.8125</v>
      </c>
    </row>
    <row r="47" spans="1:9" ht="12.75">
      <c r="A47" s="17">
        <f>IF(B47="Mo",Spieltage!$B$38,IF(B47="Di",Spieltage!$B$39,IF(B47="Mi",Spieltage!$B$40,IF(B47="Do",Spieltage!$B$41,IF(B47="Fr",Spieltage!$B$42,"")))))</f>
        <v>41592</v>
      </c>
      <c r="B47" t="str">
        <f>VLOOKUP(7,Landesliga,3,FALSE)</f>
        <v>Do</v>
      </c>
      <c r="C47" s="19">
        <f>VLOOKUP(7,Landesliga,4,FALSE)</f>
        <v>0.8125</v>
      </c>
      <c r="D47" t="str">
        <f>VLOOKUP(7,Landesliga,2,FALSE)</f>
        <v>TTC Ensdorf</v>
      </c>
      <c r="E47" s="18" t="s">
        <v>35</v>
      </c>
      <c r="F47" t="str">
        <f>VLOOKUP(9,Landesliga,2,FALSE)</f>
        <v>SG Merchweiler/TV Limbach</v>
      </c>
      <c r="G47" s="17">
        <f>IF(H47="Mo",Spieltage!$F$38,IF(H47="Di",Spieltage!$F$39,IF(H47="Mi",Spieltage!$F$40,IF(H47="Do",Spieltage!$F$41,IF(H47="Fr",Spieltage!$F$42,"")))))</f>
        <v>41711</v>
      </c>
      <c r="H47" t="str">
        <f>VLOOKUP(9,Landesliga,3,FALSE)</f>
        <v>Do</v>
      </c>
      <c r="I47" s="19">
        <f>VLOOKUP(9,Landesliga,4,FALSE)</f>
        <v>0.8333333333333334</v>
      </c>
    </row>
    <row r="48" spans="1:9" ht="12.75">
      <c r="A48" s="17">
        <f>IF(B48="Mo",Spieltage!$B$38,IF(B48="Di",Spieltage!$B$39,IF(B48="Mi",Spieltage!$B$40,IF(B48="Do",Spieltage!$B$41,IF(B48="Fr",Spieltage!$B$42,"")))))</f>
        <v>41593</v>
      </c>
      <c r="B48" t="str">
        <f>VLOOKUP(10,Landesliga,3,FALSE)</f>
        <v>Fr</v>
      </c>
      <c r="C48" s="19">
        <f>VLOOKUP(10,Landesliga,4,FALSE)</f>
        <v>0.8333333333333334</v>
      </c>
      <c r="D48" t="str">
        <f>VLOOKUP(10,Landesliga,2,FALSE)</f>
        <v>ATSV Saarbrücken</v>
      </c>
      <c r="E48" s="18" t="s">
        <v>35</v>
      </c>
      <c r="F48" t="str">
        <f>VLOOKUP(3,Landesliga,2,FALSE)</f>
        <v>TTC Wallerfangen </v>
      </c>
      <c r="G48" s="17">
        <f>IF(H48="Mo",Spieltage!$F$38,IF(H48="Di",Spieltage!$F$39,IF(H48="Mi",Spieltage!$F$40,IF(H48="Do",Spieltage!$F$41,IF(H48="Fr",Spieltage!$F$42,"")))))</f>
        <v>41710</v>
      </c>
      <c r="H48" t="str">
        <f>VLOOKUP(3,Landesliga,3,FALSE)</f>
        <v>Mi</v>
      </c>
      <c r="I48" s="19">
        <f>VLOOKUP(3,Landesliga,4,FALSE)</f>
        <v>0.8125</v>
      </c>
    </row>
    <row r="50" spans="1:9" ht="12.75">
      <c r="A50" s="17">
        <f>IF(B50="Mo",Spieltage!$B$43,IF(B50="Di",Spieltage!$B$44,IF(B50="Mi",Spieltage!$B$45,IF(B50="Do",Spieltage!$B$46,IF(B50="Fr",Spieltage!$B$47,"")))))</f>
        <v>40876</v>
      </c>
      <c r="B50" t="str">
        <f>VLOOKUP(1,Landesliga,3,FALSE)</f>
        <v>Fr</v>
      </c>
      <c r="C50" s="19">
        <f>VLOOKUP(1,Landesliga,4,FALSE)</f>
        <v>0.7916666666666666</v>
      </c>
      <c r="D50" t="str">
        <f>VLOOKUP(1,Landesliga,2,FALSE)</f>
        <v>TTV Hasborn </v>
      </c>
      <c r="E50" s="18" t="s">
        <v>35</v>
      </c>
      <c r="F50" t="str">
        <f>VLOOKUP(7,Landesliga,2,FALSE)</f>
        <v>TTC Ensdorf</v>
      </c>
      <c r="G50" s="17">
        <f>IF(H50="Mo",Spieltage!$F$43,IF(H50="Di",Spieltage!$F$44,IF(H50="Mi",Spieltage!$F$45,IF(H50="Do",Spieltage!$F$46,IF(H50="Fr",Spieltage!$F$47,"")))))</f>
        <v>41725</v>
      </c>
      <c r="H50" t="str">
        <f>VLOOKUP(7,Landesliga,3,FALSE)</f>
        <v>Do</v>
      </c>
      <c r="I50" s="19">
        <f>VLOOKUP(7,Landesliga,4,FALSE)</f>
        <v>0.8125</v>
      </c>
    </row>
    <row r="51" spans="1:9" ht="12.75">
      <c r="A51" s="17">
        <f>IF(B51="Mo",Spieltage!$B$43,IF(B51="Di",Spieltage!$B$44,IF(B51="Mi",Spieltage!$B$45,IF(B51="Do",Spieltage!$B$46,IF(B51="Fr",Spieltage!$B$47,"")))))</f>
        <v>40873</v>
      </c>
      <c r="B51" t="str">
        <f>VLOOKUP(2,Landesliga,3,FALSE)</f>
        <v>Di</v>
      </c>
      <c r="C51" s="19" t="str">
        <f>VLOOKUP(2,Landesliga,4,FALSE)</f>
        <v>20.00</v>
      </c>
      <c r="D51" t="str">
        <f>VLOOKUP(2,Landesliga,2,FALSE)</f>
        <v>TTC Saarwellingen </v>
      </c>
      <c r="E51" s="18" t="s">
        <v>35</v>
      </c>
      <c r="F51" t="str">
        <f>VLOOKUP(6,Landesliga,2,FALSE)</f>
        <v>TTC Dörsdorf   </v>
      </c>
      <c r="G51" s="17">
        <f>IF(H51="Mo",Spieltage!$F$43,IF(H51="Di",Spieltage!$F$44,IF(H51="Mi",Spieltage!$F$45,IF(H51="Do",Spieltage!$F$46,IF(H51="Fr",Spieltage!$F$47,"")))))</f>
        <v>41723</v>
      </c>
      <c r="H51" t="str">
        <f>VLOOKUP(6,Landesliga,3,FALSE)</f>
        <v>Di</v>
      </c>
      <c r="I51" s="19">
        <f>VLOOKUP(6,Landesliga,4,FALSE)</f>
        <v>0.7916666666666666</v>
      </c>
    </row>
    <row r="52" spans="1:9" ht="12.75">
      <c r="A52" s="17">
        <f>IF(B52="Mo",Spieltage!$B$43,IF(B52="Di",Spieltage!$B$44,IF(B52="Mi",Spieltage!$B$45,IF(B52="Do",Spieltage!$B$46,IF(B52="Fr",Spieltage!$B$47,"")))))</f>
        <v>40874</v>
      </c>
      <c r="B52" t="str">
        <f>VLOOKUP(3,Landesliga,3,FALSE)</f>
        <v>Mi</v>
      </c>
      <c r="C52" s="19">
        <f>VLOOKUP(3,Landesliga,4,FALSE)</f>
        <v>0.8125</v>
      </c>
      <c r="D52" t="str">
        <f>VLOOKUP(3,Landesliga,2,FALSE)</f>
        <v>TTC Wallerfangen </v>
      </c>
      <c r="E52" s="18" t="s">
        <v>35</v>
      </c>
      <c r="F52" t="str">
        <f>VLOOKUP(5,Landesliga,2,FALSE)</f>
        <v>TTF Eppelborn </v>
      </c>
      <c r="G52" s="17">
        <f>IF(H52="Mo",Spieltage!$F$43,IF(H52="Di",Spieltage!$F$44,IF(H52="Mi",Spieltage!$F$45,IF(H52="Do",Spieltage!$F$46,IF(H52="Fr",Spieltage!$F$47,"")))))</f>
        <v>41726</v>
      </c>
      <c r="H52" t="str">
        <f>VLOOKUP(5,Landesliga,3,FALSE)</f>
        <v>Fr</v>
      </c>
      <c r="I52" s="19">
        <f>VLOOKUP(5,Landesliga,4,FALSE)</f>
        <v>0.8125</v>
      </c>
    </row>
    <row r="53" spans="1:9" ht="12.75">
      <c r="A53" s="17">
        <f>IF(B53="Mo",Spieltage!$B$43,IF(B53="Di",Spieltage!$B$44,IF(B53="Mi",Spieltage!$B$45,IF(B53="Do",Spieltage!$B$46,IF(B53="Fr",Spieltage!$B$47,"")))))</f>
        <v>40875</v>
      </c>
      <c r="B53" t="str">
        <f>VLOOKUP(4,Landesliga,3,FALSE)</f>
        <v>Do</v>
      </c>
      <c r="C53" s="19">
        <f>VLOOKUP(4,Landesliga,4,FALSE)</f>
        <v>0.84375</v>
      </c>
      <c r="D53" t="str">
        <f>VLOOKUP(4,Landesliga,2,FALSE)</f>
        <v>MTTC Namborn</v>
      </c>
      <c r="E53" s="18" t="s">
        <v>35</v>
      </c>
      <c r="F53" t="str">
        <f>VLOOKUP(10,Landesliga,2,FALSE)</f>
        <v>ATSV Saarbrücken</v>
      </c>
      <c r="G53" s="17">
        <f>IF(H53="Mo",Spieltage!$F$43,IF(H53="Di",Spieltage!$F$44,IF(H53="Mi",Spieltage!$F$45,IF(H53="Do",Spieltage!$F$46,IF(H53="Fr",Spieltage!$F$47,"")))))</f>
        <v>41726</v>
      </c>
      <c r="H53" t="str">
        <f>VLOOKUP(10,Landesliga,3,FALSE)</f>
        <v>Fr</v>
      </c>
      <c r="I53" s="19">
        <f>VLOOKUP(10,Landesliga,4,FALSE)</f>
        <v>0.8333333333333334</v>
      </c>
    </row>
    <row r="54" spans="1:9" ht="12.75">
      <c r="A54" s="17">
        <f>IF(B54="Mo",Spieltage!$B$43,IF(B54="Di",Spieltage!$B$44,IF(B54="Mi",Spieltage!$B$45,IF(B54="Do",Spieltage!$B$46,IF(B54="Fr",Spieltage!$B$47,"")))))</f>
        <v>40875</v>
      </c>
      <c r="B54" t="str">
        <f>VLOOKUP(9,Landesliga,3,FALSE)</f>
        <v>Do</v>
      </c>
      <c r="C54" s="19">
        <f>VLOOKUP(9,Landesliga,4,FALSE)</f>
        <v>0.8333333333333334</v>
      </c>
      <c r="D54" t="str">
        <f>VLOOKUP(9,Landesliga,2,FALSE)</f>
        <v>SG Merchweiler/TV Limbach</v>
      </c>
      <c r="E54" s="18" t="s">
        <v>35</v>
      </c>
      <c r="F54" t="str">
        <f>VLOOKUP(8,Landesliga,2,FALSE)</f>
        <v>TTC Püttlingen </v>
      </c>
      <c r="G54" s="17">
        <f>IF(H54="Mo",Spieltage!$F$43,IF(H54="Di",Spieltage!$F$44,IF(H54="Mi",Spieltage!$F$45,IF(H54="Do",Spieltage!$F$46,IF(H54="Fr",Spieltage!$F$47,"")))))</f>
        <v>41723</v>
      </c>
      <c r="H54" t="str">
        <f>VLOOKUP(8,Landesliga,3,FALSE)</f>
        <v>Di</v>
      </c>
      <c r="I54" s="19">
        <f>VLOOKUP(8,Landesliga,4,FALSE)</f>
        <v>0.8125</v>
      </c>
    </row>
    <row r="56" spans="1:9" ht="12.75">
      <c r="A56" s="17">
        <f>IF(B56="Mo",Spieltage!$B$48,IF(B56="Di",Spieltage!$B$49,IF(B56="Mi",Spieltage!$B$50,IF(B56="Do",Spieltage!$B$51,IF(B56="Fr",Spieltage!$B$52,"")))))</f>
        <v>41614</v>
      </c>
      <c r="B56" t="str">
        <f>VLOOKUP(5,Landesliga,3,FALSE)</f>
        <v>Fr</v>
      </c>
      <c r="C56" s="19">
        <f>VLOOKUP(5,Landesliga,4,FALSE)</f>
        <v>0.8125</v>
      </c>
      <c r="D56" t="str">
        <f>VLOOKUP(5,Landesliga,2,FALSE)</f>
        <v>TTF Eppelborn </v>
      </c>
      <c r="E56" s="18" t="s">
        <v>35</v>
      </c>
      <c r="F56" t="str">
        <f>VLOOKUP(4,Landesliga,2,FALSE)</f>
        <v>MTTC Namborn</v>
      </c>
      <c r="G56" s="17">
        <f>IF(H56="Mo",Spieltage!$F$48,IF(H56="Di",Spieltage!$F$49,IF(H56="Mi",Spieltage!$F$50,IF(H56="Do",Spieltage!$F$51,IF(H56="Fr",Spieltage!$F$52,"")))))</f>
        <v>41732</v>
      </c>
      <c r="H56" t="str">
        <f>VLOOKUP(4,Landesliga,3,FALSE)</f>
        <v>Do</v>
      </c>
      <c r="I56" s="19">
        <f>VLOOKUP(4,Landesliga,4,FALSE)</f>
        <v>0.84375</v>
      </c>
    </row>
    <row r="57" spans="1:9" ht="12.75">
      <c r="A57" s="17">
        <f>IF(B57="Mo",Spieltage!$B$48,IF(B57="Di",Spieltage!$B$49,IF(B57="Mi",Spieltage!$B$50,IF(B57="Do",Spieltage!$B$51,IF(B57="Fr",Spieltage!$B$52,"")))))</f>
        <v>41611</v>
      </c>
      <c r="B57" t="str">
        <f>VLOOKUP(6,Landesliga,3,FALSE)</f>
        <v>Di</v>
      </c>
      <c r="C57" s="19">
        <f>VLOOKUP(6,Landesliga,4,FALSE)</f>
        <v>0.7916666666666666</v>
      </c>
      <c r="D57" t="str">
        <f>VLOOKUP(6,Landesliga,2,FALSE)</f>
        <v>TTC Dörsdorf   </v>
      </c>
      <c r="E57" s="18" t="s">
        <v>35</v>
      </c>
      <c r="F57" t="str">
        <f>VLOOKUP(3,Landesliga,2,FALSE)</f>
        <v>TTC Wallerfangen </v>
      </c>
      <c r="G57" s="17">
        <f>IF(H57="Mo",Spieltage!$F$48,IF(H57="Di",Spieltage!$F$49,IF(H57="Mi",Spieltage!$F$50,IF(H57="Do",Spieltage!$F$51,IF(H57="Fr",Spieltage!$F$52,"")))))</f>
        <v>41731</v>
      </c>
      <c r="H57" t="str">
        <f>VLOOKUP(3,Landesliga,3,FALSE)</f>
        <v>Mi</v>
      </c>
      <c r="I57" s="19">
        <f>VLOOKUP(3,Landesliga,4,FALSE)</f>
        <v>0.8125</v>
      </c>
    </row>
    <row r="58" spans="1:9" ht="12.75">
      <c r="A58" s="17">
        <f>IF(B58="Mo",Spieltage!$B$48,IF(B58="Di",Spieltage!$B$49,IF(B58="Mi",Spieltage!$B$50,IF(B58="Do",Spieltage!$B$51,IF(B58="Fr",Spieltage!$B$52,"")))))</f>
        <v>41613</v>
      </c>
      <c r="B58" t="str">
        <f>VLOOKUP(7,Landesliga,3,FALSE)</f>
        <v>Do</v>
      </c>
      <c r="C58" s="19">
        <f>VLOOKUP(7,Landesliga,4,FALSE)</f>
        <v>0.8125</v>
      </c>
      <c r="D58" t="str">
        <f>VLOOKUP(7,Landesliga,2,FALSE)</f>
        <v>TTC Ensdorf</v>
      </c>
      <c r="E58" s="18" t="s">
        <v>35</v>
      </c>
      <c r="F58" t="str">
        <f>VLOOKUP(2,Landesliga,2,FALSE)</f>
        <v>TTC Saarwellingen </v>
      </c>
      <c r="G58" s="17">
        <f>IF(H58="Mo",Spieltage!$F$48,IF(H58="Di",Spieltage!$F$49,IF(H58="Mi",Spieltage!$F$50,IF(H58="Do",Spieltage!$F$51,IF(H58="Fr",Spieltage!$F$52,"")))))</f>
        <v>41730</v>
      </c>
      <c r="H58" t="str">
        <f>VLOOKUP(2,Landesliga,3,FALSE)</f>
        <v>Di</v>
      </c>
      <c r="I58" s="19" t="str">
        <f>VLOOKUP(2,Landesliga,4,FALSE)</f>
        <v>20.00</v>
      </c>
    </row>
    <row r="59" spans="1:9" ht="12.75">
      <c r="A59" s="17">
        <f>IF(B59="Mo",Spieltage!$B$48,IF(B59="Di",Spieltage!$B$49,IF(B59="Mi",Spieltage!$B$50,IF(B59="Do",Spieltage!$B$51,IF(B59="Fr",Spieltage!$B$52,"")))))</f>
        <v>41611</v>
      </c>
      <c r="B59" t="str">
        <f>VLOOKUP(8,Landesliga,3,FALSE)</f>
        <v>Di</v>
      </c>
      <c r="C59" s="19">
        <f>VLOOKUP(8,Landesliga,4,FALSE)</f>
        <v>0.8125</v>
      </c>
      <c r="D59" t="str">
        <f>VLOOKUP(8,Landesliga,2,FALSE)</f>
        <v>TTC Püttlingen </v>
      </c>
      <c r="E59" s="18" t="s">
        <v>35</v>
      </c>
      <c r="F59" t="str">
        <f>VLOOKUP(1,Landesliga,2,FALSE)</f>
        <v>TTV Hasborn </v>
      </c>
      <c r="G59" s="17">
        <f>IF(H59="Mo",Spieltage!$F$48,IF(H59="Di",Spieltage!$F$49,IF(H59="Mi",Spieltage!$F$50,IF(H59="Do",Spieltage!$F$51,IF(H59="Fr",Spieltage!$F$52,"")))))</f>
        <v>41733</v>
      </c>
      <c r="H59" t="str">
        <f>VLOOKUP(1,Landesliga,3,FALSE)</f>
        <v>Fr</v>
      </c>
      <c r="I59" s="19">
        <f>VLOOKUP(1,Landesliga,4,FALSE)</f>
        <v>0.7916666666666666</v>
      </c>
    </row>
    <row r="60" spans="1:9" ht="12.75">
      <c r="A60" s="17">
        <f>IF(B60="Mo",Spieltage!$B$48,IF(B60="Di",Spieltage!$B$49,IF(B60="Mi",Spieltage!$B$50,IF(B60="Do",Spieltage!$B$51,IF(B60="Fr",Spieltage!$B$52,"")))))</f>
        <v>41614</v>
      </c>
      <c r="B60" t="str">
        <f>VLOOKUP(10,Landesliga,3,FALSE)</f>
        <v>Fr</v>
      </c>
      <c r="C60" s="19">
        <f>VLOOKUP(10,Landesliga,4,FALSE)</f>
        <v>0.8333333333333334</v>
      </c>
      <c r="D60" t="str">
        <f>VLOOKUP(10,Landesliga,2,FALSE)</f>
        <v>ATSV Saarbrücken</v>
      </c>
      <c r="E60" s="18" t="s">
        <v>35</v>
      </c>
      <c r="F60" t="str">
        <f>VLOOKUP(9,Landesliga,2,FALSE)</f>
        <v>SG Merchweiler/TV Limbach</v>
      </c>
      <c r="G60" s="17">
        <f>IF(H60="Mo",Spieltage!$F$48,IF(H60="Di",Spieltage!$F$49,IF(H60="Mi",Spieltage!$F$50,IF(H60="Do",Spieltage!$F$51,IF(H60="Fr",Spieltage!$F$52,"")))))</f>
        <v>41732</v>
      </c>
      <c r="H60" t="str">
        <f>VLOOKUP(9,Landesliga,3,FALSE)</f>
        <v>Do</v>
      </c>
      <c r="I60" s="19">
        <f>VLOOKUP(9,Landesliga,4,FALSE)</f>
        <v>0.8333333333333334</v>
      </c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2" sqref="A2"/>
    </sheetView>
  </sheetViews>
  <sheetFormatPr defaultColWidth="11.421875" defaultRowHeight="12.75"/>
  <cols>
    <col min="1" max="1" width="10.28125" style="0" customWidth="1"/>
    <col min="2" max="2" width="3.7109375" style="0" customWidth="1"/>
    <col min="3" max="3" width="5.7109375" style="0" customWidth="1"/>
    <col min="4" max="4" width="21.7109375" style="0" customWidth="1"/>
    <col min="5" max="5" width="1.7109375" style="0" customWidth="1"/>
    <col min="6" max="6" width="21.7109375" style="0" customWidth="1"/>
    <col min="7" max="7" width="10.28125" style="0" customWidth="1"/>
    <col min="8" max="8" width="3.7109375" style="0" customWidth="1"/>
    <col min="9" max="9" width="5.7109375" style="0" customWidth="1"/>
  </cols>
  <sheetData>
    <row r="1" spans="1:9" ht="12.75">
      <c r="A1" s="1" t="s">
        <v>31</v>
      </c>
      <c r="I1" s="20" t="s">
        <v>32</v>
      </c>
    </row>
    <row r="2" ht="15.75">
      <c r="D2" s="4" t="s">
        <v>36</v>
      </c>
    </row>
    <row r="4" spans="1:4" ht="15.75">
      <c r="A4" s="4" t="s">
        <v>33</v>
      </c>
      <c r="D4" s="1" t="str">
        <f>Spieltage!A3&amp;" "&amp;Spieltage!B3</f>
        <v>Saison 2013/2014</v>
      </c>
    </row>
    <row r="6" spans="1:7" ht="12.75">
      <c r="A6" s="1" t="s">
        <v>28</v>
      </c>
      <c r="G6" s="1" t="s">
        <v>30</v>
      </c>
    </row>
    <row r="8" spans="1:9" ht="12.75">
      <c r="A8" s="17">
        <f>IF(B8="Mo",Spieltage!$B$8,IF(B8="Di",Spieltage!$B$9,IF(B8="Mi",Spieltage!$B$10,IF(B8="Do",Spieltage!$B$11,IF(B8="Fr",Spieltage!$B$12,"")))))</f>
        <v>41529</v>
      </c>
      <c r="B8" t="str">
        <f>VLOOKUP(1,Bezirkslsw,3,FALSE)</f>
        <v>Do</v>
      </c>
      <c r="C8" s="19">
        <f>VLOOKUP(1,Bezirkslsw,4,FALSE)</f>
        <v>0.8333333333333334</v>
      </c>
      <c r="D8" t="str">
        <f>VLOOKUP(1,Bezirkslsw,2,FALSE)</f>
        <v>TTC Schwarzenholz</v>
      </c>
      <c r="E8" s="18" t="s">
        <v>35</v>
      </c>
      <c r="F8" t="str">
        <f>VLOOKUP(9,Bezirkslsw,2,FALSE)</f>
        <v>TTC Lockweiler-Krettnich</v>
      </c>
      <c r="G8" s="17">
        <f>IF(H8="Mo",Spieltage!$F$8,IF(H8="Di",Spieltage!$F$9,IF(H8="Mi",Spieltage!$F$10,IF(H8="Do",Spieltage!$F$11,IF(H8="Fr",Spieltage!$F$12,"")))))</f>
        <v>41645</v>
      </c>
      <c r="H8" t="str">
        <f>VLOOKUP(9,Bezirkslsw,3,FALSE)</f>
        <v>Mo</v>
      </c>
      <c r="I8" s="19">
        <f>VLOOKUP(9,Bezirkslsw,4,FALSE)</f>
        <v>0.8333333333333334</v>
      </c>
    </row>
    <row r="9" spans="1:9" ht="12.75">
      <c r="A9" s="17">
        <f>IF(B9="Mo",Spieltage!$B$8,IF(B9="Di",Spieltage!$B$9,IF(B9="Mi",Spieltage!$B$10,IF(B9="Do",Spieltage!$B$11,IF(B9="Fr",Spieltage!$B$12,"")))))</f>
        <v>41528</v>
      </c>
      <c r="B9" t="str">
        <f>VLOOKUP(2,Bezirkslsw,3,FALSE)</f>
        <v>Mi</v>
      </c>
      <c r="C9" s="19">
        <f>VLOOKUP(2,Bezirkslsw,4,FALSE)</f>
        <v>0.7916666666666666</v>
      </c>
      <c r="D9" t="str">
        <f>VLOOKUP(2,Bezirkslsw,2,FALSE)</f>
        <v>DJK Saarbrücken-Rastpfuhl   </v>
      </c>
      <c r="E9" s="18" t="s">
        <v>35</v>
      </c>
      <c r="F9" t="str">
        <f>VLOOKUP(8,Bezirkslsw,2,FALSE)</f>
        <v>TTC Köllerbach 2</v>
      </c>
      <c r="G9" s="17">
        <f>IF(H9="Mo",Spieltage!$F$8,IF(H9="Di",Spieltage!$F$9,IF(H9="Mi",Spieltage!$F$10,IF(H9="Do",Spieltage!$F$11,IF(H9="Fr",Spieltage!$F$12,"")))))</f>
        <v>41646</v>
      </c>
      <c r="H9" t="str">
        <f>VLOOKUP(8,Bezirkslsw,3,FALSE)</f>
        <v>Di</v>
      </c>
      <c r="I9" s="19">
        <f>VLOOKUP(8,Bezirkslsw,4,FALSE)</f>
        <v>0.8125</v>
      </c>
    </row>
    <row r="10" spans="1:9" ht="12.75">
      <c r="A10" s="17">
        <f>IF(B10="Mo",Spieltage!$B$8,IF(B10="Di",Spieltage!$B$9,IF(B10="Mi",Spieltage!$B$10,IF(B10="Do",Spieltage!$B$11,IF(B10="Fr",Spieltage!$B$12,"")))))</f>
        <v>41530</v>
      </c>
      <c r="B10" t="str">
        <f>VLOOKUP(3,Bezirkslsw,3,FALSE)</f>
        <v>Fr</v>
      </c>
      <c r="C10" s="19">
        <f>VLOOKUP(3,Bezirkslsw,4,FALSE)</f>
        <v>0.8125</v>
      </c>
      <c r="D10" t="str">
        <f>VLOOKUP(3,Bezirkslsw,2,FALSE)</f>
        <v>DJK Dudweiler 2</v>
      </c>
      <c r="E10" s="18" t="s">
        <v>35</v>
      </c>
      <c r="F10" t="str">
        <f>VLOOKUP(7,Bezirkslsw,2,FALSE)</f>
        <v>TTSV Fraulautern</v>
      </c>
      <c r="G10" s="17">
        <f>IF(H10="Mo",Spieltage!$F$8,IF(H10="Di",Spieltage!$F$9,IF(H10="Mi",Spieltage!$F$10,IF(H10="Do",Spieltage!$F$11,IF(H10="Fr",Spieltage!$F$12,"")))))</f>
        <v>41645</v>
      </c>
      <c r="H10" t="str">
        <f>VLOOKUP(7,Bezirkslsw,3,FALSE)</f>
        <v>Mo</v>
      </c>
      <c r="I10" s="19">
        <f>VLOOKUP(7,Bezirkslsw,4,FALSE)</f>
        <v>0.7916666666666666</v>
      </c>
    </row>
    <row r="11" spans="1:9" ht="12.75">
      <c r="A11" s="17">
        <f>IF(B11="Mo",Spieltage!$B$8,IF(B11="Di",Spieltage!$B$9,IF(B11="Mi",Spieltage!$B$10,IF(B11="Do",Spieltage!$B$11,IF(B11="Fr",Spieltage!$B$12,"")))))</f>
        <v>41529</v>
      </c>
      <c r="B11" t="str">
        <f>VLOOKUP(4,Bezirkslsw,3,FALSE)</f>
        <v>Do</v>
      </c>
      <c r="C11" s="19">
        <f>VLOOKUP(4,Bezirkslsw,4,FALSE)</f>
        <v>0.7916666666666666</v>
      </c>
      <c r="D11" t="str">
        <f>VLOOKUP(4,Bezirkslsw,2,FALSE)</f>
        <v>TTG Dillingen 2</v>
      </c>
      <c r="E11" s="18" t="s">
        <v>35</v>
      </c>
      <c r="F11" t="str">
        <f>VLOOKUP(6,Bezirkslsw,2,FALSE)</f>
        <v>DJK Heusweiler 2</v>
      </c>
      <c r="G11" s="17">
        <f>IF(H11="Mo",Spieltage!$F$8,IF(H11="Di",Spieltage!$F$9,IF(H11="Mi",Spieltage!$F$10,IF(H11="Do",Spieltage!$F$11,IF(H11="Fr",Spieltage!$F$12,"")))))</f>
        <v>41649</v>
      </c>
      <c r="H11" t="str">
        <f>VLOOKUP(6,Bezirkslsw,3,FALSE)</f>
        <v>Fr</v>
      </c>
      <c r="I11" s="19">
        <f>VLOOKUP(6,Bezirkslsw,4,FALSE)</f>
        <v>0.7916666666666666</v>
      </c>
    </row>
    <row r="12" spans="1:9" ht="12.75">
      <c r="A12" s="17">
        <f>IF(B12="Mo",Spieltage!$B$8,IF(B12="Di",Spieltage!$B$9,IF(B12="Mi",Spieltage!$B$10,IF(B12="Do",Spieltage!$B$11,IF(B12="Fr",Spieltage!$B$12,"")))))</f>
      </c>
      <c r="B12" t="str">
        <f>VLOOKUP(10,Bezirkslsw,3,FALSE)</f>
        <v> </v>
      </c>
      <c r="C12" s="19" t="str">
        <f>VLOOKUP(10,Bezirkslsw,4,FALSE)</f>
        <v> </v>
      </c>
      <c r="D12" t="str">
        <f>VLOOKUP(10,Bezirkslsw,2,FALSE)</f>
        <v>spielfrei</v>
      </c>
      <c r="E12" s="18" t="s">
        <v>35</v>
      </c>
      <c r="F12" t="str">
        <f>VLOOKUP(5,Bezirkslsw,2,FALSE)</f>
        <v>TTC Wehrden </v>
      </c>
      <c r="G12" s="17">
        <f>IF(H12="Mo",Spieltage!$F$8,IF(H12="Di",Spieltage!$F$9,IF(H12="Mi",Spieltage!$F$10,IF(H12="Do",Spieltage!$F$11,IF(H12="Fr",Spieltage!$F$12,"")))))</f>
        <v>41645</v>
      </c>
      <c r="H12" t="str">
        <f>VLOOKUP(5,Bezirkslsw,3,FALSE)</f>
        <v>Mo</v>
      </c>
      <c r="I12" s="19">
        <f>VLOOKUP(5,Bezirkslsw,4,FALSE)</f>
        <v>0.7916666666666666</v>
      </c>
    </row>
    <row r="13" ht="12.75">
      <c r="E13" s="18"/>
    </row>
    <row r="14" spans="1:9" ht="12.75">
      <c r="A14" s="17">
        <f>IF(B14="Mo",Spieltage!$B$13,IF(B14="Di",Spieltage!$B$14,IF(B14="Mi",Spieltage!$B$15,IF(B14="Do",Spieltage!$B$16,IF(B14="Fr",Spieltage!$B$17,"")))))</f>
        <v>41536</v>
      </c>
      <c r="B14" t="str">
        <f>VLOOKUP(1,Bezirkslsw,3,FALSE)</f>
        <v>Do</v>
      </c>
      <c r="C14" s="19">
        <f>VLOOKUP(1,Bezirkslsw,4,FALSE)</f>
        <v>0.8333333333333334</v>
      </c>
      <c r="D14" t="str">
        <f>VLOOKUP(1,Bezirkslsw,2,FALSE)</f>
        <v>TTC Schwarzenholz</v>
      </c>
      <c r="E14" s="18" t="s">
        <v>35</v>
      </c>
      <c r="F14" t="str">
        <f>VLOOKUP(3,Bezirkslsw,2,FALSE)</f>
        <v>DJK Dudweiler 2</v>
      </c>
      <c r="G14" s="17">
        <f>IF(H14="Mo",Spieltage!$F$13,IF(H14="Di",Spieltage!$F$14,IF(H14="Mi",Spieltage!$F$15,IF(H14="Do",Spieltage!$F$16,IF(H14="Fr",Spieltage!$F$17,"")))))</f>
        <v>41663</v>
      </c>
      <c r="H14" t="str">
        <f>VLOOKUP(3,Bezirkslsw,3,FALSE)</f>
        <v>Fr</v>
      </c>
      <c r="I14" s="19">
        <f>VLOOKUP(3,Bezirkslsw,4,FALSE)</f>
        <v>0.8125</v>
      </c>
    </row>
    <row r="15" spans="1:9" ht="12.75">
      <c r="A15" s="17">
        <f>IF(B15="Mo",Spieltage!$B$13,IF(B15="Di",Spieltage!$B$14,IF(B15="Mi",Spieltage!$B$15,IF(B15="Do",Spieltage!$B$16,IF(B15="Fr",Spieltage!$B$17,"")))))</f>
        <v>41537</v>
      </c>
      <c r="B15" t="str">
        <f>VLOOKUP(6,Bezirkslsw,3,FALSE)</f>
        <v>Fr</v>
      </c>
      <c r="C15" s="19">
        <f>VLOOKUP(6,Bezirkslsw,4,FALSE)</f>
        <v>0.7916666666666666</v>
      </c>
      <c r="D15" t="str">
        <f>VLOOKUP(6,Bezirkslsw,2,FALSE)</f>
        <v>DJK Heusweiler 2</v>
      </c>
      <c r="E15" s="18" t="s">
        <v>35</v>
      </c>
      <c r="F15" t="str">
        <f>VLOOKUP(10,Bezirkslsw,2,FALSE)</f>
        <v>spielfrei</v>
      </c>
      <c r="G15" s="17">
        <f>IF(H15="Mo",Spieltage!$F$13,IF(H15="Di",Spieltage!$F$14,IF(H15="Mi",Spieltage!$F$15,IF(H15="Do",Spieltage!$F$16,IF(H15="Fr",Spieltage!$F$17,"")))))</f>
      </c>
      <c r="H15" t="str">
        <f>VLOOKUP(10,Bezirkslsw,3,FALSE)</f>
        <v> </v>
      </c>
      <c r="I15" s="19" t="str">
        <f>VLOOKUP(10,Bezirkslsw,4,FALSE)</f>
        <v> </v>
      </c>
    </row>
    <row r="16" spans="1:9" ht="12.75">
      <c r="A16" s="17">
        <f>IF(B16="Mo",Spieltage!$B$13,IF(B16="Di",Spieltage!$B$14,IF(B16="Mi",Spieltage!$B$15,IF(B16="Do",Spieltage!$B$16,IF(B16="Fr",Spieltage!$B$17,"")))))</f>
        <v>41533</v>
      </c>
      <c r="B16" t="str">
        <f>VLOOKUP(7,Bezirkslsw,3,FALSE)</f>
        <v>Mo</v>
      </c>
      <c r="C16" s="19">
        <f>VLOOKUP(7,Bezirkslsw,4,FALSE)</f>
        <v>0.7916666666666666</v>
      </c>
      <c r="D16" t="str">
        <f>VLOOKUP(7,Bezirkslsw,2,FALSE)</f>
        <v>TTSV Fraulautern</v>
      </c>
      <c r="E16" s="18" t="s">
        <v>35</v>
      </c>
      <c r="F16" t="str">
        <f>VLOOKUP(4,Bezirkslsw,2,FALSE)</f>
        <v>TTG Dillingen 2</v>
      </c>
      <c r="G16" s="17">
        <f>IF(H16="Mo",Spieltage!$F$13,IF(H16="Di",Spieltage!$F$14,IF(H16="Mi",Spieltage!$F$15,IF(H16="Do",Spieltage!$F$16,IF(H16="Fr",Spieltage!$F$17,"")))))</f>
        <v>41662</v>
      </c>
      <c r="H16" t="str">
        <f>VLOOKUP(4,Bezirkslsw,3,FALSE)</f>
        <v>Do</v>
      </c>
      <c r="I16" s="19">
        <f>VLOOKUP(4,Bezirkslsw,4,FALSE)</f>
        <v>0.7916666666666666</v>
      </c>
    </row>
    <row r="17" spans="1:9" ht="12.75">
      <c r="A17" s="17">
        <f>IF(B17="Mo",Spieltage!$B$13,IF(B17="Di",Spieltage!$B$14,IF(B17="Mi",Spieltage!$B$15,IF(B17="Do",Spieltage!$B$16,IF(B17="Fr",Spieltage!$B$17,"")))))</f>
        <v>41534</v>
      </c>
      <c r="B17" t="str">
        <f>VLOOKUP(8,Bezirkslsw,3,FALSE)</f>
        <v>Di</v>
      </c>
      <c r="C17" s="19">
        <f>VLOOKUP(8,Bezirkslsw,4,FALSE)</f>
        <v>0.8125</v>
      </c>
      <c r="D17" t="str">
        <f>VLOOKUP(8,Bezirkslsw,2,FALSE)</f>
        <v>TTC Köllerbach 2</v>
      </c>
      <c r="E17" s="18" t="s">
        <v>35</v>
      </c>
      <c r="F17" t="str">
        <f>VLOOKUP(5,Bezirkslsw,2,FALSE)</f>
        <v>TTC Wehrden </v>
      </c>
      <c r="G17" s="17">
        <f>IF(H17="Mo",Spieltage!$F$13,IF(H17="Di",Spieltage!$F$14,IF(H17="Mi",Spieltage!$F$15,IF(H17="Do",Spieltage!$F$16,IF(H17="Fr",Spieltage!$F$17,"")))))</f>
        <v>41659</v>
      </c>
      <c r="H17" t="str">
        <f>VLOOKUP(5,Bezirkslsw,3,FALSE)</f>
        <v>Mo</v>
      </c>
      <c r="I17" s="19">
        <f>VLOOKUP(5,Bezirkslsw,4,FALSE)</f>
        <v>0.7916666666666666</v>
      </c>
    </row>
    <row r="18" spans="1:9" ht="12.75">
      <c r="A18" s="17">
        <f>IF(B18="Mo",Spieltage!$B$13,IF(B18="Di",Spieltage!$B$14,IF(B18="Mi",Spieltage!$B$15,IF(B18="Do",Spieltage!$B$16,IF(B18="Fr",Spieltage!$B$17,"")))))</f>
        <v>41533</v>
      </c>
      <c r="B18" t="str">
        <f>VLOOKUP(9,Bezirkslsw,3,FALSE)</f>
        <v>Mo</v>
      </c>
      <c r="C18" s="19">
        <f>VLOOKUP(9,Bezirkslsw,4,FALSE)</f>
        <v>0.8333333333333334</v>
      </c>
      <c r="D18" t="str">
        <f>VLOOKUP(9,Bezirkslsw,2,FALSE)</f>
        <v>TTC Lockweiler-Krettnich</v>
      </c>
      <c r="E18" s="18" t="s">
        <v>35</v>
      </c>
      <c r="F18" t="str">
        <f>VLOOKUP(2,Bezirkslsw,2,FALSE)</f>
        <v>DJK Saarbrücken-Rastpfuhl   </v>
      </c>
      <c r="G18" s="17">
        <f>IF(H18="Mo",Spieltage!$F$13,IF(H18="Di",Spieltage!$F$14,IF(H18="Mi",Spieltage!$F$15,IF(H18="Do",Spieltage!$F$16,IF(H18="Fr",Spieltage!$F$17,"")))))</f>
        <v>41661</v>
      </c>
      <c r="H18" t="str">
        <f>VLOOKUP(2,Bezirkslsw,3,FALSE)</f>
        <v>Mi</v>
      </c>
      <c r="I18" s="19">
        <f>VLOOKUP(2,Bezirkslsw,4,FALSE)</f>
        <v>0.7916666666666666</v>
      </c>
    </row>
    <row r="20" spans="1:9" ht="12.75">
      <c r="A20" s="17">
        <f>IF(B20="Mo",Spieltage!$B$18,IF(B20="Di",Spieltage!$B$19,IF(B20="Mi",Spieltage!$B$20,IF(B20="Do",Spieltage!$B$21,IF(B20="Fr",Spieltage!$B$22,"")))))</f>
        <v>41542</v>
      </c>
      <c r="B20" t="str">
        <f>VLOOKUP(2,Bezirkslsw,3,FALSE)</f>
        <v>Mi</v>
      </c>
      <c r="C20" s="19">
        <f>VLOOKUP(2,Bezirkslsw,4,FALSE)</f>
        <v>0.7916666666666666</v>
      </c>
      <c r="D20" t="str">
        <f>VLOOKUP(2,Bezirkslsw,2,FALSE)</f>
        <v>DJK Saarbrücken-Rastpfuhl   </v>
      </c>
      <c r="E20" s="18" t="s">
        <v>35</v>
      </c>
      <c r="F20" t="str">
        <f>VLOOKUP(1,Bezirkslsw,2,FALSE)</f>
        <v>TTC Schwarzenholz</v>
      </c>
      <c r="G20" s="17">
        <f>IF(H20="Mo",Spieltage!$F$18,IF(H20="Di",Spieltage!$F$19,IF(H20="Mi",Spieltage!$F$20,IF(H20="Do",Spieltage!$F$21,IF(H20="Fr",Spieltage!$F$22,"")))))</f>
        <v>41669</v>
      </c>
      <c r="H20" t="str">
        <f>VLOOKUP(1,Bezirkslsw,3,FALSE)</f>
        <v>Do</v>
      </c>
      <c r="I20" s="19">
        <f>VLOOKUP(1,Bezirkslsw,4,FALSE)</f>
        <v>0.8333333333333334</v>
      </c>
    </row>
    <row r="21" spans="1:9" ht="12.75">
      <c r="A21" s="17">
        <f>IF(B21="Mo",Spieltage!$B$18,IF(B21="Di",Spieltage!$B$19,IF(B21="Mi",Spieltage!$B$20,IF(B21="Do",Spieltage!$B$21,IF(B21="Fr",Spieltage!$B$22,"")))))</f>
        <v>41544</v>
      </c>
      <c r="B21" t="str">
        <f>VLOOKUP(3,Bezirkslsw,3,FALSE)</f>
        <v>Fr</v>
      </c>
      <c r="C21" s="19">
        <f>VLOOKUP(3,Bezirkslsw,4,FALSE)</f>
        <v>0.8125</v>
      </c>
      <c r="D21" t="str">
        <f>VLOOKUP(3,Bezirkslsw,2,FALSE)</f>
        <v>DJK Dudweiler 2</v>
      </c>
      <c r="E21" s="18" t="s">
        <v>35</v>
      </c>
      <c r="F21" t="str">
        <f>VLOOKUP(9,Bezirkslsw,2,FALSE)</f>
        <v>TTC Lockweiler-Krettnich</v>
      </c>
      <c r="G21" s="17">
        <f>IF(H21="Mo",Spieltage!$F$18,IF(H21="Di",Spieltage!$F$19,IF(H21="Mi",Spieltage!$F$20,IF(H21="Do",Spieltage!$F$21,IF(H21="Fr",Spieltage!$F$22,"")))))</f>
        <v>41666</v>
      </c>
      <c r="H21" t="str">
        <f>VLOOKUP(9,Bezirkslsw,3,FALSE)</f>
        <v>Mo</v>
      </c>
      <c r="I21" s="19">
        <f>VLOOKUP(9,Bezirkslsw,4,FALSE)</f>
        <v>0.8333333333333334</v>
      </c>
    </row>
    <row r="22" spans="1:9" ht="12.75">
      <c r="A22" s="17">
        <f>IF(B22="Mo",Spieltage!$B$18,IF(B22="Di",Spieltage!$B$19,IF(B22="Mi",Spieltage!$B$20,IF(B22="Do",Spieltage!$B$21,IF(B22="Fr",Spieltage!$B$22,"")))))</f>
        <v>41543</v>
      </c>
      <c r="B22" t="str">
        <f>VLOOKUP(4,Bezirkslsw,3,FALSE)</f>
        <v>Do</v>
      </c>
      <c r="C22" s="19">
        <f>VLOOKUP(4,Bezirkslsw,4,FALSE)</f>
        <v>0.7916666666666666</v>
      </c>
      <c r="D22" t="str">
        <f>VLOOKUP(4,Bezirkslsw,2,FALSE)</f>
        <v>TTG Dillingen 2</v>
      </c>
      <c r="E22" s="18" t="s">
        <v>35</v>
      </c>
      <c r="F22" t="str">
        <f>VLOOKUP(8,Bezirkslsw,2,FALSE)</f>
        <v>TTC Köllerbach 2</v>
      </c>
      <c r="G22" s="17">
        <f>IF(H22="Mo",Spieltage!$F$18,IF(H22="Di",Spieltage!$F$19,IF(H22="Mi",Spieltage!$F$20,IF(H22="Do",Spieltage!$F$21,IF(H22="Fr",Spieltage!$F$22,"")))))</f>
        <v>41667</v>
      </c>
      <c r="H22" t="str">
        <f>VLOOKUP(8,Bezirkslsw,3,FALSE)</f>
        <v>Di</v>
      </c>
      <c r="I22" s="19">
        <f>VLOOKUP(8,Bezirkslsw,4,FALSE)</f>
        <v>0.8125</v>
      </c>
    </row>
    <row r="23" spans="1:9" ht="12.75">
      <c r="A23" s="17">
        <f>IF(B23="Mo",Spieltage!$B$18,IF(B23="Di",Spieltage!$B$19,IF(B23="Mi",Spieltage!$B$20,IF(B23="Do",Spieltage!$B$21,IF(B23="Fr",Spieltage!$B$22,"")))))</f>
        <v>41540</v>
      </c>
      <c r="B23" t="str">
        <f>VLOOKUP(5,Bezirkslsw,3,FALSE)</f>
        <v>Mo</v>
      </c>
      <c r="C23" s="19">
        <f>VLOOKUP(5,Bezirkslsw,4,FALSE)</f>
        <v>0.7916666666666666</v>
      </c>
      <c r="D23" t="str">
        <f>VLOOKUP(5,Bezirkslsw,2,FALSE)</f>
        <v>TTC Wehrden </v>
      </c>
      <c r="E23" s="18" t="s">
        <v>35</v>
      </c>
      <c r="F23" t="str">
        <f>VLOOKUP(6,Bezirkslsw,2,FALSE)</f>
        <v>DJK Heusweiler 2</v>
      </c>
      <c r="G23" s="17">
        <f>IF(H23="Mo",Spieltage!$F$18,IF(H23="Di",Spieltage!$F$19,IF(H23="Mi",Spieltage!$F$20,IF(H23="Do",Spieltage!$F$21,IF(H23="Fr",Spieltage!$F$22,"")))))</f>
        <v>41670</v>
      </c>
      <c r="H23" t="str">
        <f>VLOOKUP(6,Bezirkslsw,3,FALSE)</f>
        <v>Fr</v>
      </c>
      <c r="I23" s="19">
        <f>VLOOKUP(6,Bezirkslsw,4,FALSE)</f>
        <v>0.7916666666666666</v>
      </c>
    </row>
    <row r="24" spans="1:9" ht="12.75">
      <c r="A24" s="17">
        <f>IF(B24="Mo",Spieltage!$B$18,IF(B24="Di",Spieltage!$B$19,IF(B24="Mi",Spieltage!$B$20,IF(B24="Do",Spieltage!$B$21,IF(B24="Fr",Spieltage!$B$22,"")))))</f>
      </c>
      <c r="B24" t="str">
        <f>VLOOKUP(10,Bezirkslsw,3,FALSE)</f>
        <v> </v>
      </c>
      <c r="C24" s="19" t="str">
        <f>VLOOKUP(10,Bezirkslsw,4,FALSE)</f>
        <v> </v>
      </c>
      <c r="D24" t="str">
        <f>VLOOKUP(10,Bezirkslsw,2,FALSE)</f>
        <v>spielfrei</v>
      </c>
      <c r="E24" s="18" t="s">
        <v>35</v>
      </c>
      <c r="F24" t="str">
        <f>VLOOKUP(7,Bezirkslsw,2,FALSE)</f>
        <v>TTSV Fraulautern</v>
      </c>
      <c r="G24" s="17">
        <f>IF(H24="Mo",Spieltage!$F$18,IF(H24="Di",Spieltage!$F$19,IF(H24="Mi",Spieltage!$F$20,IF(H24="Do",Spieltage!$F$21,IF(H24="Fr",Spieltage!$F$22,"")))))</f>
        <v>41666</v>
      </c>
      <c r="H24" t="str">
        <f>VLOOKUP(7,Bezirkslsw,3,FALSE)</f>
        <v>Mo</v>
      </c>
      <c r="I24" s="19">
        <f>VLOOKUP(7,Bezirkslsw,4,FALSE)</f>
        <v>0.7916666666666666</v>
      </c>
    </row>
    <row r="26" spans="1:9" ht="12.75">
      <c r="A26" s="17">
        <f>IF(B26="Mo",Spieltage!$B$23,IF(B26="Di",Spieltage!$B$24,IF(B26="Mi",Spieltage!$B$25,IF(B26="Do",Spieltage!$B$26,IF(B26="Fr",Spieltage!$B$27,"")))))</f>
        <v>41557</v>
      </c>
      <c r="B26" t="str">
        <f>VLOOKUP(1,Bezirkslsw,3,FALSE)</f>
        <v>Do</v>
      </c>
      <c r="C26" s="19">
        <f>VLOOKUP(1,Bezirkslsw,4,FALSE)</f>
        <v>0.8333333333333334</v>
      </c>
      <c r="D26" t="str">
        <f>VLOOKUP(1,Bezirkslsw,2,FALSE)</f>
        <v>TTC Schwarzenholz</v>
      </c>
      <c r="E26" s="18" t="s">
        <v>35</v>
      </c>
      <c r="F26" t="str">
        <f>VLOOKUP(6,Bezirkslsw,2,FALSE)</f>
        <v>DJK Heusweiler 2</v>
      </c>
      <c r="G26" s="17">
        <f>IF(H26="Mo",Spieltage!$F$23,IF(H26="Di",Spieltage!$F$24,IF(H26="Mi",Spieltage!$F$25,IF(H26="Do",Spieltage!$F$26,IF(H26="Fr",Spieltage!$F$27,"")))))</f>
        <v>41677</v>
      </c>
      <c r="H26" t="str">
        <f>VLOOKUP(6,Bezirkslsw,3,FALSE)</f>
        <v>Fr</v>
      </c>
      <c r="I26" s="19">
        <f>VLOOKUP(6,Bezirkslsw,4,FALSE)</f>
        <v>0.7916666666666666</v>
      </c>
    </row>
    <row r="27" spans="1:9" ht="12.75">
      <c r="A27" s="17">
        <f>IF(B27="Mo",Spieltage!$B$23,IF(B27="Di",Spieltage!$B$24,IF(B27="Mi",Spieltage!$B$25,IF(B27="Do",Spieltage!$B$26,IF(B27="Fr",Spieltage!$B$27,"")))))</f>
        <v>41556</v>
      </c>
      <c r="B27" t="str">
        <f>VLOOKUP(2,Bezirkslsw,3,FALSE)</f>
        <v>Mi</v>
      </c>
      <c r="C27" s="19">
        <f>VLOOKUP(2,Bezirkslsw,4,FALSE)</f>
        <v>0.7916666666666666</v>
      </c>
      <c r="D27" t="str">
        <f>VLOOKUP(2,Bezirkslsw,2,FALSE)</f>
        <v>DJK Saarbrücken-Rastpfuhl   </v>
      </c>
      <c r="E27" s="18" t="s">
        <v>35</v>
      </c>
      <c r="F27" t="str">
        <f>VLOOKUP(3,Bezirkslsw,2,FALSE)</f>
        <v>DJK Dudweiler 2</v>
      </c>
      <c r="G27" s="17">
        <f>IF(H27="Mo",Spieltage!$F$23,IF(H27="Di",Spieltage!$F$24,IF(H27="Mi",Spieltage!$F$25,IF(H27="Do",Spieltage!$F$26,IF(H27="Fr",Spieltage!$F$27,"")))))</f>
        <v>41677</v>
      </c>
      <c r="H27" t="str">
        <f>VLOOKUP(3,Bezirkslsw,3,FALSE)</f>
        <v>Fr</v>
      </c>
      <c r="I27" s="19">
        <f>VLOOKUP(3,Bezirkslsw,4,FALSE)</f>
        <v>0.8125</v>
      </c>
    </row>
    <row r="28" spans="1:9" ht="12.75">
      <c r="A28" s="17">
        <f>IF(B28="Mo",Spieltage!$B$23,IF(B28="Di",Spieltage!$B$24,IF(B28="Mi",Spieltage!$B$25,IF(B28="Do",Spieltage!$B$26,IF(B28="Fr",Spieltage!$B$27,"")))))</f>
        <v>41554</v>
      </c>
      <c r="B28" t="str">
        <f>VLOOKUP(7,Bezirkslsw,3,FALSE)</f>
        <v>Mo</v>
      </c>
      <c r="C28" s="19">
        <f>VLOOKUP(7,Bezirkslsw,4,FALSE)</f>
        <v>0.7916666666666666</v>
      </c>
      <c r="D28" t="str">
        <f>VLOOKUP(7,Bezirkslsw,2,FALSE)</f>
        <v>TTSV Fraulautern</v>
      </c>
      <c r="E28" s="18" t="s">
        <v>35</v>
      </c>
      <c r="F28" t="str">
        <f>VLOOKUP(5,Bezirkslsw,2,FALSE)</f>
        <v>TTC Wehrden </v>
      </c>
      <c r="G28" s="17">
        <f>IF(H28="Mo",Spieltage!$F$23,IF(H28="Di",Spieltage!$F$24,IF(H28="Mi",Spieltage!$F$25,IF(H28="Do",Spieltage!$F$26,IF(H28="Fr",Spieltage!$F$27,"")))))</f>
        <v>41673</v>
      </c>
      <c r="H28" t="str">
        <f>VLOOKUP(5,Bezirkslsw,3,FALSE)</f>
        <v>Mo</v>
      </c>
      <c r="I28" s="19">
        <f>VLOOKUP(5,Bezirkslsw,4,FALSE)</f>
        <v>0.7916666666666666</v>
      </c>
    </row>
    <row r="29" spans="1:9" ht="12.75">
      <c r="A29" s="17">
        <f>IF(B29="Mo",Spieltage!$B$23,IF(B29="Di",Spieltage!$B$24,IF(B29="Mi",Spieltage!$B$25,IF(B29="Do",Spieltage!$B$26,IF(B29="Fr",Spieltage!$B$27,"")))))</f>
        <v>41555</v>
      </c>
      <c r="B29" t="str">
        <f>VLOOKUP(8,Bezirkslsw,3,FALSE)</f>
        <v>Di</v>
      </c>
      <c r="C29" s="19">
        <f>VLOOKUP(8,Bezirkslsw,4,FALSE)</f>
        <v>0.8125</v>
      </c>
      <c r="D29" t="str">
        <f>VLOOKUP(8,Bezirkslsw,2,FALSE)</f>
        <v>TTC Köllerbach 2</v>
      </c>
      <c r="E29" s="18" t="s">
        <v>35</v>
      </c>
      <c r="F29" t="str">
        <f>VLOOKUP(10,Bezirkslsw,2,FALSE)</f>
        <v>spielfrei</v>
      </c>
      <c r="G29" s="17">
        <f>IF(H29="Mo",Spieltage!$F$23,IF(H29="Di",Spieltage!$F$24,IF(H29="Mi",Spieltage!$F$25,IF(H29="Do",Spieltage!$F$26,IF(H29="Fr",Spieltage!$F$27,"")))))</f>
      </c>
      <c r="H29" t="str">
        <f>VLOOKUP(10,Bezirkslsw,3,FALSE)</f>
        <v> </v>
      </c>
      <c r="I29" s="19" t="str">
        <f>VLOOKUP(10,Bezirkslsw,4,FALSE)</f>
        <v> </v>
      </c>
    </row>
    <row r="30" spans="1:9" ht="12.75">
      <c r="A30" s="17">
        <f>IF(B30="Mo",Spieltage!$B$23,IF(B30="Di",Spieltage!$B$24,IF(B30="Mi",Spieltage!$B$25,IF(B30="Do",Spieltage!$B$26,IF(B30="Fr",Spieltage!$B$27,"")))))</f>
        <v>41554</v>
      </c>
      <c r="B30" t="str">
        <f>VLOOKUP(9,Bezirkslsw,3,FALSE)</f>
        <v>Mo</v>
      </c>
      <c r="C30" s="19">
        <f>VLOOKUP(9,Bezirkslsw,4,FALSE)</f>
        <v>0.8333333333333334</v>
      </c>
      <c r="D30" t="str">
        <f>VLOOKUP(9,Bezirkslsw,2,FALSE)</f>
        <v>TTC Lockweiler-Krettnich</v>
      </c>
      <c r="E30" s="18" t="s">
        <v>35</v>
      </c>
      <c r="F30" t="str">
        <f>VLOOKUP(4,Bezirkslsw,2,FALSE)</f>
        <v>TTG Dillingen 2</v>
      </c>
      <c r="G30" s="17">
        <f>IF(H30="Mo",Spieltage!$F$23,IF(H30="Di",Spieltage!$F$24,IF(H30="Mi",Spieltage!$F$25,IF(H30="Do",Spieltage!$F$26,IF(H30="Fr",Spieltage!$F$27,"")))))</f>
        <v>41676</v>
      </c>
      <c r="H30" t="str">
        <f>VLOOKUP(4,Bezirkslsw,3,FALSE)</f>
        <v>Do</v>
      </c>
      <c r="I30" s="19">
        <f>VLOOKUP(4,Bezirkslsw,4,FALSE)</f>
        <v>0.7916666666666666</v>
      </c>
    </row>
    <row r="32" spans="1:9" ht="12.75">
      <c r="A32" s="17">
        <f>IF(B32="Mo",Spieltage!$B$28,IF(B32="Di",Spieltage!$B$29,IF(B32="Mi",Spieltage!$B$30,IF(B32="Do",Spieltage!$B$31,IF(B32="Fr",Spieltage!$B$32,"")))))</f>
        <v>41565</v>
      </c>
      <c r="B32" t="str">
        <f>VLOOKUP(3,Bezirkslsw,3,FALSE)</f>
        <v>Fr</v>
      </c>
      <c r="C32" s="19">
        <f>VLOOKUP(3,Bezirkslsw,4,FALSE)</f>
        <v>0.8125</v>
      </c>
      <c r="D32" t="str">
        <f>VLOOKUP(3,Bezirkslsw,2,FALSE)</f>
        <v>DJK Dudweiler 2</v>
      </c>
      <c r="E32" s="18" t="s">
        <v>35</v>
      </c>
      <c r="F32" t="str">
        <f>VLOOKUP(8,Bezirkslsw,2,FALSE)</f>
        <v>TTC Köllerbach 2</v>
      </c>
      <c r="G32" s="17">
        <f>IF(H32="Mo",Spieltage!$F$28,IF(H32="Di",Spieltage!$F$29,IF(H32="Mi",Spieltage!$F$30,IF(H32="Do",Spieltage!$F$31,IF(H32="Fr",Spieltage!$F$32,"")))))</f>
        <v>41681</v>
      </c>
      <c r="H32" t="str">
        <f>VLOOKUP(8,Bezirkslsw,3,FALSE)</f>
        <v>Di</v>
      </c>
      <c r="I32" s="19">
        <f>VLOOKUP(8,Bezirkslsw,4,FALSE)</f>
        <v>0.8125</v>
      </c>
    </row>
    <row r="33" spans="1:9" ht="12.75">
      <c r="A33" s="17">
        <f>IF(B33="Mo",Spieltage!$B$28,IF(B33="Di",Spieltage!$B$29,IF(B33="Mi",Spieltage!$B$30,IF(B33="Do",Spieltage!$B$31,IF(B33="Fr",Spieltage!$B$32,"")))))</f>
        <v>41564</v>
      </c>
      <c r="B33" t="str">
        <f>VLOOKUP(4,Bezirkslsw,3,FALSE)</f>
        <v>Do</v>
      </c>
      <c r="C33" s="19">
        <f>VLOOKUP(4,Bezirkslsw,4,FALSE)</f>
        <v>0.7916666666666666</v>
      </c>
      <c r="D33" t="str">
        <f>VLOOKUP(4,Bezirkslsw,2,FALSE)</f>
        <v>TTG Dillingen 2</v>
      </c>
      <c r="E33" s="18" t="s">
        <v>35</v>
      </c>
      <c r="F33" t="str">
        <f>VLOOKUP(2,Bezirkslsw,2,FALSE)</f>
        <v>DJK Saarbrücken-Rastpfuhl   </v>
      </c>
      <c r="G33" s="17">
        <f>IF(H33="Mo",Spieltage!$F$28,IF(H33="Di",Spieltage!$F$29,IF(H33="Mi",Spieltage!$F$30,IF(H33="Do",Spieltage!$F$31,IF(H33="Fr",Spieltage!$F$32,"")))))</f>
        <v>41682</v>
      </c>
      <c r="H33" t="str">
        <f>VLOOKUP(2,Bezirkslsw,3,FALSE)</f>
        <v>Mi</v>
      </c>
      <c r="I33" s="19">
        <f>VLOOKUP(2,Bezirkslsw,4,FALSE)</f>
        <v>0.7916666666666666</v>
      </c>
    </row>
    <row r="34" spans="1:9" ht="12.75">
      <c r="A34" s="17">
        <f>IF(B34="Mo",Spieltage!$B$28,IF(B34="Di",Spieltage!$B$29,IF(B34="Mi",Spieltage!$B$30,IF(B34="Do",Spieltage!$B$31,IF(B34="Fr",Spieltage!$B$32,"")))))</f>
        <v>41561</v>
      </c>
      <c r="B34" t="str">
        <f>VLOOKUP(5,Bezirkslsw,3,FALSE)</f>
        <v>Mo</v>
      </c>
      <c r="C34" s="19">
        <f>VLOOKUP(5,Bezirkslsw,4,FALSE)</f>
        <v>0.7916666666666666</v>
      </c>
      <c r="D34" t="str">
        <f>VLOOKUP(5,Bezirkslsw,2,FALSE)</f>
        <v>TTC Wehrden </v>
      </c>
      <c r="E34" s="18" t="s">
        <v>35</v>
      </c>
      <c r="F34" t="str">
        <f>VLOOKUP(9,Bezirkslsw,2,FALSE)</f>
        <v>TTC Lockweiler-Krettnich</v>
      </c>
      <c r="G34" s="17">
        <f>IF(H34="Mo",Spieltage!$F$28,IF(H34="Di",Spieltage!$F$29,IF(H34="Mi",Spieltage!$F$30,IF(H34="Do",Spieltage!$F$31,IF(H34="Fr",Spieltage!$F$32,"")))))</f>
        <v>41680</v>
      </c>
      <c r="H34" t="str">
        <f>VLOOKUP(9,Bezirkslsw,3,FALSE)</f>
        <v>Mo</v>
      </c>
      <c r="I34" s="19">
        <f>VLOOKUP(9,Bezirkslsw,4,FALSE)</f>
        <v>0.8333333333333334</v>
      </c>
    </row>
    <row r="35" spans="1:9" ht="12.75">
      <c r="A35" s="17">
        <f>IF(B35="Mo",Spieltage!$B$28,IF(B35="Di",Spieltage!$B$29,IF(B35="Mi",Spieltage!$B$30,IF(B35="Do",Spieltage!$B$31,IF(B35="Fr",Spieltage!$B$32,"")))))</f>
        <v>41565</v>
      </c>
      <c r="B35" t="str">
        <f>VLOOKUP(6,Bezirkslsw,3,FALSE)</f>
        <v>Fr</v>
      </c>
      <c r="C35" s="19">
        <f>VLOOKUP(6,Bezirkslsw,4,FALSE)</f>
        <v>0.7916666666666666</v>
      </c>
      <c r="D35" t="str">
        <f>VLOOKUP(6,Bezirkslsw,2,FALSE)</f>
        <v>DJK Heusweiler 2</v>
      </c>
      <c r="E35" s="18" t="s">
        <v>35</v>
      </c>
      <c r="F35" t="str">
        <f>VLOOKUP(7,Bezirkslsw,2,FALSE)</f>
        <v>TTSV Fraulautern</v>
      </c>
      <c r="G35" s="17">
        <f>IF(H35="Mo",Spieltage!$F$28,IF(H35="Di",Spieltage!$F$29,IF(H35="Mi",Spieltage!$F$30,IF(H35="Do",Spieltage!$F$31,IF(H35="Fr",Spieltage!$F$32,"")))))</f>
        <v>41680</v>
      </c>
      <c r="H35" t="str">
        <f>VLOOKUP(7,Bezirkslsw,3,FALSE)</f>
        <v>Mo</v>
      </c>
      <c r="I35" s="19">
        <f>VLOOKUP(7,Bezirkslsw,4,FALSE)</f>
        <v>0.7916666666666666</v>
      </c>
    </row>
    <row r="36" spans="1:9" ht="12.75">
      <c r="A36" s="17">
        <f>IF(B36="Mo",Spieltage!$B$28,IF(B36="Di",Spieltage!$B$29,IF(B36="Mi",Spieltage!$B$30,IF(B36="Do",Spieltage!$B$31,IF(B36="Fr",Spieltage!$B$32,"")))))</f>
      </c>
      <c r="B36" t="str">
        <f>VLOOKUP(10,Bezirkslsw,3,FALSE)</f>
        <v> </v>
      </c>
      <c r="C36" s="19" t="str">
        <f>VLOOKUP(10,Bezirkslsw,4,FALSE)</f>
        <v> </v>
      </c>
      <c r="D36" t="str">
        <f>VLOOKUP(10,Bezirkslsw,2,FALSE)</f>
        <v>spielfrei</v>
      </c>
      <c r="E36" s="18" t="s">
        <v>35</v>
      </c>
      <c r="F36" t="str">
        <f>VLOOKUP(1,Bezirkslsw,2,FALSE)</f>
        <v>TTC Schwarzenholz</v>
      </c>
      <c r="G36" s="17">
        <f>IF(H36="Mo",Spieltage!$F$28,IF(H36="Di",Spieltage!$F$29,IF(H36="Mi",Spieltage!$F$30,IF(H36="Do",Spieltage!$F$31,IF(H36="Fr",Spieltage!$F$32,"")))))</f>
        <v>41683</v>
      </c>
      <c r="H36" t="str">
        <f>VLOOKUP(1,Bezirkslsw,3,FALSE)</f>
        <v>Do</v>
      </c>
      <c r="I36" s="19">
        <f>VLOOKUP(1,Bezirkslsw,4,FALSE)</f>
        <v>0.8333333333333334</v>
      </c>
    </row>
    <row r="38" spans="1:9" ht="12.75">
      <c r="A38" s="17">
        <f>IF(B38="Mo",Spieltage!$B$33,IF(B38="Di",Spieltage!$B$34,IF(B38="Mi",Spieltage!$B$35,IF(B38="Do",Spieltage!$B$36,IF(B38="Fr",Spieltage!$B$37,"")))))</f>
        <v>41585</v>
      </c>
      <c r="B38" t="str">
        <f>VLOOKUP(1,Bezirkslsw,3,FALSE)</f>
        <v>Do</v>
      </c>
      <c r="C38" s="19">
        <f>VLOOKUP(1,Bezirkslsw,4,FALSE)</f>
        <v>0.8333333333333334</v>
      </c>
      <c r="D38" t="str">
        <f>VLOOKUP(1,Bezirkslsw,2,FALSE)</f>
        <v>TTC Schwarzenholz</v>
      </c>
      <c r="E38" s="18" t="s">
        <v>35</v>
      </c>
      <c r="F38" t="str">
        <f>VLOOKUP(5,Bezirkslsw,2,FALSE)</f>
        <v>TTC Wehrden </v>
      </c>
      <c r="G38" s="17">
        <f>IF(H38="Mo",Spieltage!$F$33,IF(H38="Di",Spieltage!$F$34,IF(H38="Mi",Spieltage!$F$35,IF(H38="Do",Spieltage!$F$36,IF(H38="Fr",Spieltage!$F$37,"")))))</f>
        <v>41687</v>
      </c>
      <c r="H38" t="str">
        <f>VLOOKUP(5,Bezirkslsw,3,FALSE)</f>
        <v>Mo</v>
      </c>
      <c r="I38" s="19">
        <f>VLOOKUP(5,Bezirkslsw,4,FALSE)</f>
        <v>0.7916666666666666</v>
      </c>
    </row>
    <row r="39" spans="1:9" ht="12.75">
      <c r="A39" s="17">
        <f>IF(B39="Mo",Spieltage!$B$33,IF(B39="Di",Spieltage!$B$34,IF(B39="Mi",Spieltage!$B$35,IF(B39="Do",Spieltage!$B$36,IF(B39="Fr",Spieltage!$B$37,"")))))</f>
        <v>41584</v>
      </c>
      <c r="B39" t="str">
        <f>VLOOKUP(2,Bezirkslsw,3,FALSE)</f>
        <v>Mi</v>
      </c>
      <c r="C39" s="19">
        <f>VLOOKUP(2,Bezirkslsw,4,FALSE)</f>
        <v>0.7916666666666666</v>
      </c>
      <c r="D39" t="str">
        <f>VLOOKUP(2,Bezirkslsw,2,FALSE)</f>
        <v>DJK Saarbrücken-Rastpfuhl   </v>
      </c>
      <c r="E39" s="18" t="s">
        <v>35</v>
      </c>
      <c r="F39" t="str">
        <f>VLOOKUP(10,Bezirkslsw,2,FALSE)</f>
        <v>spielfrei</v>
      </c>
      <c r="G39" s="17">
        <f>IF(H39="Mo",Spieltage!$F$33,IF(H39="Di",Spieltage!$F$34,IF(H39="Mi",Spieltage!$F$35,IF(H39="Do",Spieltage!$F$36,IF(H39="Fr",Spieltage!$F$37,"")))))</f>
      </c>
      <c r="H39" t="str">
        <f>VLOOKUP(10,Bezirkslsw,3,FALSE)</f>
        <v> </v>
      </c>
      <c r="I39" s="19" t="str">
        <f>VLOOKUP(10,Bezirkslsw,4,FALSE)</f>
        <v> </v>
      </c>
    </row>
    <row r="40" spans="1:9" ht="12.75">
      <c r="A40" s="17">
        <f>IF(B40="Mo",Spieltage!$B$33,IF(B40="Di",Spieltage!$B$34,IF(B40="Mi",Spieltage!$B$35,IF(B40="Do",Spieltage!$B$36,IF(B40="Fr",Spieltage!$B$37,"")))))</f>
        <v>41586</v>
      </c>
      <c r="B40" t="str">
        <f>VLOOKUP(3,Bezirkslsw,3,FALSE)</f>
        <v>Fr</v>
      </c>
      <c r="C40" s="19">
        <f>VLOOKUP(3,Bezirkslsw,4,FALSE)</f>
        <v>0.8125</v>
      </c>
      <c r="D40" t="str">
        <f>VLOOKUP(3,Bezirkslsw,2,FALSE)</f>
        <v>DJK Dudweiler 2</v>
      </c>
      <c r="E40" s="18" t="s">
        <v>35</v>
      </c>
      <c r="F40" t="str">
        <f>VLOOKUP(4,Bezirkslsw,2,FALSE)</f>
        <v>TTG Dillingen 2</v>
      </c>
      <c r="G40" s="17">
        <f>IF(H40="Mo",Spieltage!$F$33,IF(H40="Di",Spieltage!$F$34,IF(H40="Mi",Spieltage!$F$35,IF(H40="Do",Spieltage!$F$36,IF(H40="Fr",Spieltage!$F$37,"")))))</f>
        <v>41690</v>
      </c>
      <c r="H40" t="str">
        <f>VLOOKUP(4,Bezirkslsw,3,FALSE)</f>
        <v>Do</v>
      </c>
      <c r="I40" s="19">
        <f>VLOOKUP(4,Bezirkslsw,4,FALSE)</f>
        <v>0.7916666666666666</v>
      </c>
    </row>
    <row r="41" spans="1:9" ht="12.75">
      <c r="A41" s="17">
        <f>IF(B41="Mo",Spieltage!$B$33,IF(B41="Di",Spieltage!$B$34,IF(B41="Mi",Spieltage!$B$35,IF(B41="Do",Spieltage!$B$36,IF(B41="Fr",Spieltage!$B$37,"")))))</f>
        <v>41583</v>
      </c>
      <c r="B41" t="str">
        <f>VLOOKUP(8,Bezirkslsw,3,FALSE)</f>
        <v>Di</v>
      </c>
      <c r="C41" s="19">
        <f>VLOOKUP(8,Bezirkslsw,4,FALSE)</f>
        <v>0.8125</v>
      </c>
      <c r="D41" t="str">
        <f>VLOOKUP(8,Bezirkslsw,2,FALSE)</f>
        <v>TTC Köllerbach 2</v>
      </c>
      <c r="E41" s="18" t="s">
        <v>35</v>
      </c>
      <c r="F41" t="str">
        <f>VLOOKUP(7,Bezirkslsw,2,FALSE)</f>
        <v>TTSV Fraulautern</v>
      </c>
      <c r="G41" s="17">
        <f>IF(H41="Mo",Spieltage!$F$33,IF(H41="Di",Spieltage!$F$34,IF(H41="Mi",Spieltage!$F$35,IF(H41="Do",Spieltage!$F$36,IF(H41="Fr",Spieltage!$F$37,"")))))</f>
        <v>41687</v>
      </c>
      <c r="H41" t="str">
        <f>VLOOKUP(7,Bezirkslsw,3,FALSE)</f>
        <v>Mo</v>
      </c>
      <c r="I41" s="19">
        <f>VLOOKUP(7,Bezirkslsw,4,FALSE)</f>
        <v>0.7916666666666666</v>
      </c>
    </row>
    <row r="42" spans="1:9" ht="12.75">
      <c r="A42" s="17">
        <f>IF(B42="Mo",Spieltage!$B$33,IF(B42="Di",Spieltage!$B$34,IF(B42="Mi",Spieltage!$B$35,IF(B42="Do",Spieltage!$B$36,IF(B42="Fr",Spieltage!$B$37,"")))))</f>
        <v>41582</v>
      </c>
      <c r="B42" t="str">
        <f>VLOOKUP(9,Bezirkslsw,3,FALSE)</f>
        <v>Mo</v>
      </c>
      <c r="C42" s="19">
        <f>VLOOKUP(9,Bezirkslsw,4,FALSE)</f>
        <v>0.8333333333333334</v>
      </c>
      <c r="D42" t="str">
        <f>VLOOKUP(9,Bezirkslsw,2,FALSE)</f>
        <v>TTC Lockweiler-Krettnich</v>
      </c>
      <c r="E42" s="18" t="s">
        <v>35</v>
      </c>
      <c r="F42" t="str">
        <f>VLOOKUP(6,Bezirkslsw,2,FALSE)</f>
        <v>DJK Heusweiler 2</v>
      </c>
      <c r="G42" s="17">
        <f>IF(H42="Mo",Spieltage!$F$33,IF(H42="Di",Spieltage!$F$34,IF(H42="Mi",Spieltage!$F$35,IF(H42="Do",Spieltage!$F$36,IF(H42="Fr",Spieltage!$F$37,"")))))</f>
        <v>41691</v>
      </c>
      <c r="H42" t="str">
        <f>VLOOKUP(6,Bezirkslsw,3,FALSE)</f>
        <v>Fr</v>
      </c>
      <c r="I42" s="19">
        <f>VLOOKUP(6,Bezirkslsw,4,FALSE)</f>
        <v>0.7916666666666666</v>
      </c>
    </row>
    <row r="44" spans="1:9" ht="12.75">
      <c r="A44" s="17">
        <f>IF(B44="Mo",Spieltage!$B$38,IF(B44="Di",Spieltage!$B$39,IF(B44="Mi",Spieltage!$B$40,IF(B44="Do",Spieltage!$B$41,IF(B44="Fr",Spieltage!$B$42,"")))))</f>
        <v>41592</v>
      </c>
      <c r="B44" t="str">
        <f>VLOOKUP(4,Bezirkslsw,3,FALSE)</f>
        <v>Do</v>
      </c>
      <c r="C44" s="19">
        <f>VLOOKUP(4,Bezirkslsw,4,FALSE)</f>
        <v>0.7916666666666666</v>
      </c>
      <c r="D44" t="str">
        <f>VLOOKUP(4,Bezirkslsw,2,FALSE)</f>
        <v>TTG Dillingen 2</v>
      </c>
      <c r="E44" s="18" t="s">
        <v>35</v>
      </c>
      <c r="F44" t="str">
        <f>VLOOKUP(1,Bezirkslsw,2,FALSE)</f>
        <v>TTC Schwarzenholz</v>
      </c>
      <c r="G44" s="17">
        <f>IF(H44="Mo",Spieltage!$F$38,IF(H44="Di",Spieltage!$F$39,IF(H44="Mi",Spieltage!$F$40,IF(H44="Do",Spieltage!$F$41,IF(H44="Fr",Spieltage!$F$42,"")))))</f>
        <v>41711</v>
      </c>
      <c r="H44" t="str">
        <f>VLOOKUP(1,Bezirkslsw,3,FALSE)</f>
        <v>Do</v>
      </c>
      <c r="I44" s="19">
        <f>VLOOKUP(1,Bezirkslsw,4,FALSE)</f>
        <v>0.8333333333333334</v>
      </c>
    </row>
    <row r="45" spans="1:9" ht="12.75">
      <c r="A45" s="17">
        <f>IF(B45="Mo",Spieltage!$B$38,IF(B45="Di",Spieltage!$B$39,IF(B45="Mi",Spieltage!$B$40,IF(B45="Do",Spieltage!$B$41,IF(B45="Fr",Spieltage!$B$42,"")))))</f>
        <v>41589</v>
      </c>
      <c r="B45" t="str">
        <f>VLOOKUP(5,Bezirkslsw,3,FALSE)</f>
        <v>Mo</v>
      </c>
      <c r="C45" s="19">
        <f>VLOOKUP(5,Bezirkslsw,4,FALSE)</f>
        <v>0.7916666666666666</v>
      </c>
      <c r="D45" t="str">
        <f>VLOOKUP(5,Bezirkslsw,2,FALSE)</f>
        <v>TTC Wehrden </v>
      </c>
      <c r="E45" s="18" t="s">
        <v>35</v>
      </c>
      <c r="F45" t="str">
        <f>VLOOKUP(2,Bezirkslsw,2,FALSE)</f>
        <v>DJK Saarbrücken-Rastpfuhl   </v>
      </c>
      <c r="G45" s="17">
        <f>IF(H45="Mo",Spieltage!$F$38,IF(H45="Di",Spieltage!$F$39,IF(H45="Mi",Spieltage!$F$40,IF(H45="Do",Spieltage!$F$41,IF(H45="Fr",Spieltage!$F$42,"")))))</f>
        <v>41710</v>
      </c>
      <c r="H45" t="str">
        <f>VLOOKUP(2,Bezirkslsw,3,FALSE)</f>
        <v>Mi</v>
      </c>
      <c r="I45" s="19">
        <f>VLOOKUP(2,Bezirkslsw,4,FALSE)</f>
        <v>0.7916666666666666</v>
      </c>
    </row>
    <row r="46" spans="1:9" ht="12.75">
      <c r="A46" s="17">
        <f>IF(B46="Mo",Spieltage!$B$38,IF(B46="Di",Spieltage!$B$39,IF(B46="Mi",Spieltage!$B$40,IF(B46="Do",Spieltage!$B$41,IF(B46="Fr",Spieltage!$B$42,"")))))</f>
        <v>41593</v>
      </c>
      <c r="B46" t="str">
        <f>VLOOKUP(6,Bezirkslsw,3,FALSE)</f>
        <v>Fr</v>
      </c>
      <c r="C46" s="19">
        <f>VLOOKUP(6,Bezirkslsw,4,FALSE)</f>
        <v>0.7916666666666666</v>
      </c>
      <c r="D46" t="str">
        <f>VLOOKUP(6,Bezirkslsw,2,FALSE)</f>
        <v>DJK Heusweiler 2</v>
      </c>
      <c r="E46" s="18" t="s">
        <v>35</v>
      </c>
      <c r="F46" t="str">
        <f>VLOOKUP(8,Bezirkslsw,2,FALSE)</f>
        <v>TTC Köllerbach 2</v>
      </c>
      <c r="G46" s="17">
        <f>IF(H46="Mo",Spieltage!$F$38,IF(H46="Di",Spieltage!$F$39,IF(H46="Mi",Spieltage!$F$40,IF(H46="Do",Spieltage!$F$41,IF(H46="Fr",Spieltage!$F$42,"")))))</f>
        <v>41709</v>
      </c>
      <c r="H46" t="str">
        <f>VLOOKUP(8,Bezirkslsw,3,FALSE)</f>
        <v>Di</v>
      </c>
      <c r="I46" s="19">
        <f>VLOOKUP(8,Bezirkslsw,4,FALSE)</f>
        <v>0.8125</v>
      </c>
    </row>
    <row r="47" spans="1:9" ht="12.75">
      <c r="A47" s="17">
        <f>IF(B47="Mo",Spieltage!$B$38,IF(B47="Di",Spieltage!$B$39,IF(B47="Mi",Spieltage!$B$40,IF(B47="Do",Spieltage!$B$41,IF(B47="Fr",Spieltage!$B$42,"")))))</f>
        <v>41589</v>
      </c>
      <c r="B47" t="str">
        <f>VLOOKUP(7,Bezirkslsw,3,FALSE)</f>
        <v>Mo</v>
      </c>
      <c r="C47" s="19">
        <f>VLOOKUP(7,Bezirkslsw,4,FALSE)</f>
        <v>0.7916666666666666</v>
      </c>
      <c r="D47" t="str">
        <f>VLOOKUP(7,Bezirkslsw,2,FALSE)</f>
        <v>TTSV Fraulautern</v>
      </c>
      <c r="E47" s="18" t="s">
        <v>35</v>
      </c>
      <c r="F47" t="str">
        <f>VLOOKUP(9,Bezirkslsw,2,FALSE)</f>
        <v>TTC Lockweiler-Krettnich</v>
      </c>
      <c r="G47" s="17">
        <f>IF(H47="Mo",Spieltage!$F$38,IF(H47="Di",Spieltage!$F$39,IF(H47="Mi",Spieltage!$F$40,IF(H47="Do",Spieltage!$F$41,IF(H47="Fr",Spieltage!$F$42,"")))))</f>
        <v>41708</v>
      </c>
      <c r="H47" t="str">
        <f>VLOOKUP(9,Bezirkslsw,3,FALSE)</f>
        <v>Mo</v>
      </c>
      <c r="I47" s="19">
        <f>VLOOKUP(9,Bezirkslsw,4,FALSE)</f>
        <v>0.8333333333333334</v>
      </c>
    </row>
    <row r="48" spans="1:9" ht="12.75">
      <c r="A48" s="17">
        <f>IF(B48="Mo",Spieltage!$B$38,IF(B48="Di",Spieltage!$B$39,IF(B48="Mi",Spieltage!$B$40,IF(B48="Do",Spieltage!$B$41,IF(B48="Fr",Spieltage!$B$42,"")))))</f>
      </c>
      <c r="B48" t="str">
        <f>VLOOKUP(10,Bezirkslsw,3,FALSE)</f>
        <v> </v>
      </c>
      <c r="C48" s="19" t="str">
        <f>VLOOKUP(10,Bezirkslsw,4,FALSE)</f>
        <v> </v>
      </c>
      <c r="D48" t="str">
        <f>VLOOKUP(10,Bezirkslsw,2,FALSE)</f>
        <v>spielfrei</v>
      </c>
      <c r="E48" s="18" t="s">
        <v>35</v>
      </c>
      <c r="F48" t="str">
        <f>VLOOKUP(3,Bezirkslsw,2,FALSE)</f>
        <v>DJK Dudweiler 2</v>
      </c>
      <c r="G48" s="17">
        <f>IF(H48="Mo",Spieltage!$F$38,IF(H48="Di",Spieltage!$F$39,IF(H48="Mi",Spieltage!$F$40,IF(H48="Do",Spieltage!$F$41,IF(H48="Fr",Spieltage!$F$42,"")))))</f>
        <v>41712</v>
      </c>
      <c r="H48" t="str">
        <f>VLOOKUP(3,Bezirkslsw,3,FALSE)</f>
        <v>Fr</v>
      </c>
      <c r="I48" s="19">
        <f>VLOOKUP(3,Bezirkslsw,4,FALSE)</f>
        <v>0.8125</v>
      </c>
    </row>
    <row r="50" spans="1:9" ht="12.75">
      <c r="A50" s="17">
        <f>IF(B50="Mo",Spieltage!$B$43,IF(B50="Di",Spieltage!$B$44,IF(B50="Mi",Spieltage!$B$45,IF(B50="Do",Spieltage!$B$46,IF(B50="Fr",Spieltage!$B$47,"")))))</f>
        <v>40875</v>
      </c>
      <c r="B50" t="str">
        <f>VLOOKUP(1,Bezirkslsw,3,FALSE)</f>
        <v>Do</v>
      </c>
      <c r="C50" s="19">
        <f>VLOOKUP(1,Bezirkslsw,4,FALSE)</f>
        <v>0.8333333333333334</v>
      </c>
      <c r="D50" t="str">
        <f>VLOOKUP(1,Bezirkslsw,2,FALSE)</f>
        <v>TTC Schwarzenholz</v>
      </c>
      <c r="E50" s="18" t="s">
        <v>35</v>
      </c>
      <c r="F50" t="str">
        <f>VLOOKUP(7,Bezirkslsw,2,FALSE)</f>
        <v>TTSV Fraulautern</v>
      </c>
      <c r="G50" s="17">
        <f>IF(H50="Mo",Spieltage!$F$43,IF(H50="Di",Spieltage!$F$44,IF(H50="Mi",Spieltage!$F$45,IF(H50="Do",Spieltage!$F$46,IF(H50="Fr",Spieltage!$F$47,"")))))</f>
        <v>41722</v>
      </c>
      <c r="H50" t="str">
        <f>VLOOKUP(7,Bezirkslsw,3,FALSE)</f>
        <v>Mo</v>
      </c>
      <c r="I50" s="19">
        <f>VLOOKUP(7,Bezirkslsw,4,FALSE)</f>
        <v>0.7916666666666666</v>
      </c>
    </row>
    <row r="51" spans="1:9" ht="12.75">
      <c r="A51" s="17">
        <f>IF(B51="Mo",Spieltage!$B$43,IF(B51="Di",Spieltage!$B$44,IF(B51="Mi",Spieltage!$B$45,IF(B51="Do",Spieltage!$B$46,IF(B51="Fr",Spieltage!$B$47,"")))))</f>
        <v>40874</v>
      </c>
      <c r="B51" t="str">
        <f>VLOOKUP(2,Bezirkslsw,3,FALSE)</f>
        <v>Mi</v>
      </c>
      <c r="C51" s="19">
        <f>VLOOKUP(2,Bezirkslsw,4,FALSE)</f>
        <v>0.7916666666666666</v>
      </c>
      <c r="D51" t="str">
        <f>VLOOKUP(2,Bezirkslsw,2,FALSE)</f>
        <v>DJK Saarbrücken-Rastpfuhl   </v>
      </c>
      <c r="E51" s="18" t="s">
        <v>35</v>
      </c>
      <c r="F51" t="str">
        <f>VLOOKUP(6,Bezirkslsw,2,FALSE)</f>
        <v>DJK Heusweiler 2</v>
      </c>
      <c r="G51" s="17">
        <f>IF(H51="Mo",Spieltage!$F$43,IF(H51="Di",Spieltage!$F$44,IF(H51="Mi",Spieltage!$F$45,IF(H51="Do",Spieltage!$F$46,IF(H51="Fr",Spieltage!$F$47,"")))))</f>
        <v>41726</v>
      </c>
      <c r="H51" t="str">
        <f>VLOOKUP(6,Bezirkslsw,3,FALSE)</f>
        <v>Fr</v>
      </c>
      <c r="I51" s="19">
        <f>VLOOKUP(6,Bezirkslsw,4,FALSE)</f>
        <v>0.7916666666666666</v>
      </c>
    </row>
    <row r="52" spans="1:9" ht="12.75">
      <c r="A52" s="17">
        <f>IF(B52="Mo",Spieltage!$B$43,IF(B52="Di",Spieltage!$B$44,IF(B52="Mi",Spieltage!$B$45,IF(B52="Do",Spieltage!$B$46,IF(B52="Fr",Spieltage!$B$47,"")))))</f>
        <v>40876</v>
      </c>
      <c r="B52" t="str">
        <f>VLOOKUP(3,Bezirkslsw,3,FALSE)</f>
        <v>Fr</v>
      </c>
      <c r="C52" s="19">
        <f>VLOOKUP(3,Bezirkslsw,4,FALSE)</f>
        <v>0.8125</v>
      </c>
      <c r="D52" t="str">
        <f>VLOOKUP(3,Bezirkslsw,2,FALSE)</f>
        <v>DJK Dudweiler 2</v>
      </c>
      <c r="E52" s="18" t="s">
        <v>35</v>
      </c>
      <c r="F52" t="str">
        <f>VLOOKUP(5,Bezirkslsw,2,FALSE)</f>
        <v>TTC Wehrden </v>
      </c>
      <c r="G52" s="17">
        <f>IF(H52="Mo",Spieltage!$F$43,IF(H52="Di",Spieltage!$F$44,IF(H52="Mi",Spieltage!$F$45,IF(H52="Do",Spieltage!$F$46,IF(H52="Fr",Spieltage!$F$47,"")))))</f>
        <v>41722</v>
      </c>
      <c r="H52" t="str">
        <f>VLOOKUP(5,Bezirkslsw,3,FALSE)</f>
        <v>Mo</v>
      </c>
      <c r="I52" s="19">
        <f>VLOOKUP(5,Bezirkslsw,4,FALSE)</f>
        <v>0.7916666666666666</v>
      </c>
    </row>
    <row r="53" spans="1:9" ht="12.75">
      <c r="A53" s="17">
        <f>IF(B53="Mo",Spieltage!$B$43,IF(B53="Di",Spieltage!$B$44,IF(B53="Mi",Spieltage!$B$45,IF(B53="Do",Spieltage!$B$46,IF(B53="Fr",Spieltage!$B$47,"")))))</f>
        <v>40875</v>
      </c>
      <c r="B53" t="str">
        <f>VLOOKUP(4,Bezirkslsw,3,FALSE)</f>
        <v>Do</v>
      </c>
      <c r="C53" s="19">
        <f>VLOOKUP(4,Bezirkslsw,4,FALSE)</f>
        <v>0.7916666666666666</v>
      </c>
      <c r="D53" t="str">
        <f>VLOOKUP(4,Bezirkslsw,2,FALSE)</f>
        <v>TTG Dillingen 2</v>
      </c>
      <c r="E53" s="18" t="s">
        <v>35</v>
      </c>
      <c r="F53" t="str">
        <f>VLOOKUP(10,Bezirkslsw,2,FALSE)</f>
        <v>spielfrei</v>
      </c>
      <c r="G53" s="17">
        <f>IF(H53="Mo",Spieltage!$F$43,IF(H53="Di",Spieltage!$F$44,IF(H53="Mi",Spieltage!$F$45,IF(H53="Do",Spieltage!$F$46,IF(H53="Fr",Spieltage!$F$47,"")))))</f>
      </c>
      <c r="H53" t="str">
        <f>VLOOKUP(10,Bezirkslsw,3,FALSE)</f>
        <v> </v>
      </c>
      <c r="I53" s="19" t="str">
        <f>VLOOKUP(10,Bezirkslsw,4,FALSE)</f>
        <v> </v>
      </c>
    </row>
    <row r="54" spans="1:9" ht="12.75">
      <c r="A54" s="17">
        <f>IF(B54="Mo",Spieltage!$B$43,IF(B54="Di",Spieltage!$B$44,IF(B54="Mi",Spieltage!$B$45,IF(B54="Do",Spieltage!$B$46,IF(B54="Fr",Spieltage!$B$47,"")))))</f>
        <v>40872</v>
      </c>
      <c r="B54" t="str">
        <f>VLOOKUP(9,Bezirkslsw,3,FALSE)</f>
        <v>Mo</v>
      </c>
      <c r="C54" s="19">
        <f>VLOOKUP(9,Bezirkslsw,4,FALSE)</f>
        <v>0.8333333333333334</v>
      </c>
      <c r="D54" t="str">
        <f>VLOOKUP(9,Bezirkslsw,2,FALSE)</f>
        <v>TTC Lockweiler-Krettnich</v>
      </c>
      <c r="E54" s="18" t="s">
        <v>35</v>
      </c>
      <c r="F54" t="str">
        <f>VLOOKUP(8,Bezirkslsw,2,FALSE)</f>
        <v>TTC Köllerbach 2</v>
      </c>
      <c r="G54" s="17">
        <f>IF(H54="Mo",Spieltage!$F$43,IF(H54="Di",Spieltage!$F$44,IF(H54="Mi",Spieltage!$F$45,IF(H54="Do",Spieltage!$F$46,IF(H54="Fr",Spieltage!$F$47,"")))))</f>
        <v>41723</v>
      </c>
      <c r="H54" t="str">
        <f>VLOOKUP(8,Bezirkslsw,3,FALSE)</f>
        <v>Di</v>
      </c>
      <c r="I54" s="19">
        <f>VLOOKUP(8,Bezirkslsw,4,FALSE)</f>
        <v>0.8125</v>
      </c>
    </row>
    <row r="56" spans="1:9" ht="12.75">
      <c r="A56" s="17">
        <f>IF(B56="Mo",Spieltage!$B$48,IF(B56="Di",Spieltage!$B$49,IF(B56="Mi",Spieltage!$B$50,IF(B56="Do",Spieltage!$B$51,IF(B56="Fr",Spieltage!$B$52,"")))))</f>
        <v>41610</v>
      </c>
      <c r="B56" t="str">
        <f>VLOOKUP(5,Bezirkslsw,3,FALSE)</f>
        <v>Mo</v>
      </c>
      <c r="C56" s="19">
        <f>VLOOKUP(5,Bezirkslsw,4,FALSE)</f>
        <v>0.7916666666666666</v>
      </c>
      <c r="D56" t="str">
        <f>VLOOKUP(5,Bezirkslsw,2,FALSE)</f>
        <v>TTC Wehrden </v>
      </c>
      <c r="E56" s="18" t="s">
        <v>35</v>
      </c>
      <c r="F56" t="str">
        <f>VLOOKUP(4,Bezirkslsw,2,FALSE)</f>
        <v>TTG Dillingen 2</v>
      </c>
      <c r="G56" s="17">
        <f>IF(H56="Mo",Spieltage!$F$48,IF(H56="Di",Spieltage!$F$49,IF(H56="Mi",Spieltage!$F$50,IF(H56="Do",Spieltage!$F$51,IF(H56="Fr",Spieltage!$F$52,"")))))</f>
        <v>41732</v>
      </c>
      <c r="H56" t="str">
        <f>VLOOKUP(4,Bezirkslsw,3,FALSE)</f>
        <v>Do</v>
      </c>
      <c r="I56" s="19">
        <f>VLOOKUP(4,Bezirkslsw,4,FALSE)</f>
        <v>0.7916666666666666</v>
      </c>
    </row>
    <row r="57" spans="1:9" ht="12.75">
      <c r="A57" s="17">
        <f>IF(B57="Mo",Spieltage!$B$48,IF(B57="Di",Spieltage!$B$49,IF(B57="Mi",Spieltage!$B$50,IF(B57="Do",Spieltage!$B$51,IF(B57="Fr",Spieltage!$B$52,"")))))</f>
        <v>41614</v>
      </c>
      <c r="B57" t="str">
        <f>VLOOKUP(6,Bezirkslsw,3,FALSE)</f>
        <v>Fr</v>
      </c>
      <c r="C57" s="19">
        <f>VLOOKUP(6,Bezirkslsw,4,FALSE)</f>
        <v>0.7916666666666666</v>
      </c>
      <c r="D57" t="str">
        <f>VLOOKUP(6,Bezirkslsw,2,FALSE)</f>
        <v>DJK Heusweiler 2</v>
      </c>
      <c r="E57" s="18" t="s">
        <v>35</v>
      </c>
      <c r="F57" t="str">
        <f>VLOOKUP(3,Bezirkslsw,2,FALSE)</f>
        <v>DJK Dudweiler 2</v>
      </c>
      <c r="G57" s="17">
        <f>IF(H57="Mo",Spieltage!$F$48,IF(H57="Di",Spieltage!$F$49,IF(H57="Mi",Spieltage!$F$50,IF(H57="Do",Spieltage!$F$51,IF(H57="Fr",Spieltage!$F$52,"")))))</f>
        <v>41733</v>
      </c>
      <c r="H57" t="str">
        <f>VLOOKUP(3,Bezirkslsw,3,FALSE)</f>
        <v>Fr</v>
      </c>
      <c r="I57" s="19">
        <f>VLOOKUP(3,Bezirkslsw,4,FALSE)</f>
        <v>0.8125</v>
      </c>
    </row>
    <row r="58" spans="1:9" ht="12.75">
      <c r="A58" s="17">
        <f>IF(B58="Mo",Spieltage!$B$48,IF(B58="Di",Spieltage!$B$49,IF(B58="Mi",Spieltage!$B$50,IF(B58="Do",Spieltage!$B$51,IF(B58="Fr",Spieltage!$B$52,"")))))</f>
        <v>41610</v>
      </c>
      <c r="B58" t="str">
        <f>VLOOKUP(7,Bezirkslsw,3,FALSE)</f>
        <v>Mo</v>
      </c>
      <c r="C58" s="19">
        <f>VLOOKUP(7,Bezirkslsw,4,FALSE)</f>
        <v>0.7916666666666666</v>
      </c>
      <c r="D58" t="str">
        <f>VLOOKUP(7,Bezirkslsw,2,FALSE)</f>
        <v>TTSV Fraulautern</v>
      </c>
      <c r="E58" s="18" t="s">
        <v>35</v>
      </c>
      <c r="F58" t="str">
        <f>VLOOKUP(2,Bezirkslsw,2,FALSE)</f>
        <v>DJK Saarbrücken-Rastpfuhl   </v>
      </c>
      <c r="G58" s="17">
        <f>IF(H58="Mo",Spieltage!$F$48,IF(H58="Di",Spieltage!$F$49,IF(H58="Mi",Spieltage!$F$50,IF(H58="Do",Spieltage!$F$51,IF(H58="Fr",Spieltage!$F$52,"")))))</f>
        <v>41731</v>
      </c>
      <c r="H58" t="str">
        <f>VLOOKUP(2,Bezirkslsw,3,FALSE)</f>
        <v>Mi</v>
      </c>
      <c r="I58" s="19">
        <f>VLOOKUP(2,Bezirkslsw,4,FALSE)</f>
        <v>0.7916666666666666</v>
      </c>
    </row>
    <row r="59" spans="1:9" ht="12.75">
      <c r="A59" s="17">
        <f>IF(B59="Mo",Spieltage!$B$48,IF(B59="Di",Spieltage!$B$49,IF(B59="Mi",Spieltage!$B$50,IF(B59="Do",Spieltage!$B$51,IF(B59="Fr",Spieltage!$B$52,"")))))</f>
        <v>41611</v>
      </c>
      <c r="B59" t="str">
        <f>VLOOKUP(8,Bezirkslsw,3,FALSE)</f>
        <v>Di</v>
      </c>
      <c r="C59" s="19">
        <f>VLOOKUP(8,Bezirkslsw,4,FALSE)</f>
        <v>0.8125</v>
      </c>
      <c r="D59" t="str">
        <f>VLOOKUP(8,Bezirkslsw,2,FALSE)</f>
        <v>TTC Köllerbach 2</v>
      </c>
      <c r="E59" s="18" t="s">
        <v>35</v>
      </c>
      <c r="F59" t="str">
        <f>VLOOKUP(1,Bezirkslsw,2,FALSE)</f>
        <v>TTC Schwarzenholz</v>
      </c>
      <c r="G59" s="17">
        <f>IF(H59="Mo",Spieltage!$F$48,IF(H59="Di",Spieltage!$F$49,IF(H59="Mi",Spieltage!$F$50,IF(H59="Do",Spieltage!$F$51,IF(H59="Fr",Spieltage!$F$52,"")))))</f>
        <v>41732</v>
      </c>
      <c r="H59" t="str">
        <f>VLOOKUP(1,Bezirkslsw,3,FALSE)</f>
        <v>Do</v>
      </c>
      <c r="I59" s="19">
        <f>VLOOKUP(1,Bezirkslsw,4,FALSE)</f>
        <v>0.8333333333333334</v>
      </c>
    </row>
    <row r="60" spans="1:9" ht="12.75">
      <c r="A60" s="17">
        <f>IF(B60="Mo",Spieltage!$B$48,IF(B60="Di",Spieltage!$B$49,IF(B60="Mi",Spieltage!$B$50,IF(B60="Do",Spieltage!$B$51,IF(B60="Fr",Spieltage!$B$52,"")))))</f>
      </c>
      <c r="B60" t="str">
        <f>VLOOKUP(10,Bezirkslsw,3,FALSE)</f>
        <v> </v>
      </c>
      <c r="C60" s="19" t="str">
        <f>VLOOKUP(10,Bezirkslsw,4,FALSE)</f>
        <v> </v>
      </c>
      <c r="D60" t="str">
        <f>VLOOKUP(10,Bezirkslsw,2,FALSE)</f>
        <v>spielfrei</v>
      </c>
      <c r="E60" s="18" t="s">
        <v>35</v>
      </c>
      <c r="F60" t="str">
        <f>VLOOKUP(9,Bezirkslsw,2,FALSE)</f>
        <v>TTC Lockweiler-Krettnich</v>
      </c>
      <c r="G60" s="17">
        <f>IF(H60="Mo",Spieltage!$F$48,IF(H60="Di",Spieltage!$F$49,IF(H60="Mi",Spieltage!$F$50,IF(H60="Do",Spieltage!$F$51,IF(H60="Fr",Spieltage!$F$52,"")))))</f>
        <v>41729</v>
      </c>
      <c r="H60" t="str">
        <f>VLOOKUP(9,Bezirkslsw,3,FALSE)</f>
        <v>Mo</v>
      </c>
      <c r="I60" s="19">
        <f>VLOOKUP(9,Bezirkslsw,4,FALSE)</f>
        <v>0.8333333333333334</v>
      </c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D3" sqref="D3"/>
    </sheetView>
  </sheetViews>
  <sheetFormatPr defaultColWidth="11.421875" defaultRowHeight="12.75"/>
  <cols>
    <col min="1" max="1" width="10.28125" style="0" customWidth="1"/>
    <col min="2" max="2" width="3.7109375" style="0" customWidth="1"/>
    <col min="3" max="3" width="5.7109375" style="0" customWidth="1"/>
    <col min="4" max="4" width="21.7109375" style="0" customWidth="1"/>
    <col min="5" max="5" width="1.7109375" style="0" customWidth="1"/>
    <col min="6" max="6" width="21.7109375" style="0" customWidth="1"/>
    <col min="7" max="7" width="10.28125" style="0" customWidth="1"/>
    <col min="8" max="8" width="3.7109375" style="0" customWidth="1"/>
    <col min="9" max="9" width="5.7109375" style="0" customWidth="1"/>
  </cols>
  <sheetData>
    <row r="1" spans="1:9" ht="12.75">
      <c r="A1" s="1" t="s">
        <v>31</v>
      </c>
      <c r="I1" s="20" t="s">
        <v>32</v>
      </c>
    </row>
    <row r="2" ht="15.75">
      <c r="D2" s="4" t="s">
        <v>36</v>
      </c>
    </row>
    <row r="4" spans="1:4" ht="15.75">
      <c r="A4" s="4" t="s">
        <v>33</v>
      </c>
      <c r="D4" s="1" t="str">
        <f>Spieltage!A3&amp;" "&amp;Spieltage!B3</f>
        <v>Saison 2013/2014</v>
      </c>
    </row>
    <row r="6" spans="1:7" ht="12.75">
      <c r="A6" s="1" t="s">
        <v>28</v>
      </c>
      <c r="G6" s="1" t="s">
        <v>30</v>
      </c>
    </row>
    <row r="7" spans="1:7" ht="12.75">
      <c r="A7" s="1"/>
      <c r="G7" s="1"/>
    </row>
    <row r="8" spans="1:9" ht="12.75">
      <c r="A8" s="17">
        <f>IF(B8="Mo",Spieltage!$B$8,IF(B8="Di",Spieltage!$B$9,IF(B8="Mi",Spieltage!$B$10,IF(B8="Do",Spieltage!$B$11,IF(B8="Fr",Spieltage!$B$12,"")))))</f>
        <v>41529</v>
      </c>
      <c r="B8" t="str">
        <f>VLOOKUP(1,Bezirkslsw,3,FALSE)</f>
        <v>Do</v>
      </c>
      <c r="C8" s="19">
        <f>VLOOKUP(1,Bezirkslsw,4,FALSE)</f>
        <v>0.8333333333333334</v>
      </c>
      <c r="D8" t="str">
        <f>VLOOKUP(1,Bezirkslsw,2,FALSE)</f>
        <v>TTC Schwarzenholz</v>
      </c>
      <c r="E8" s="18" t="s">
        <v>35</v>
      </c>
      <c r="F8" t="e">
        <f>VLOOKUP(11,Bezirkslsw,2,FALSE)</f>
        <v>#N/A</v>
      </c>
      <c r="G8" s="17" t="e">
        <f>IF(H8="Mo",Spieltage!$F$8,IF(H8="Di",Spieltage!$F$9,IF(H8="Mi",Spieltage!$F$10,IF(H8="Do",Spieltage!$F$11,IF(H8="Fr",Spieltage!$F$12,"")))))</f>
        <v>#N/A</v>
      </c>
      <c r="H8" t="e">
        <f>VLOOKUP(11,Bezirkslsw,3,FALSE)</f>
        <v>#N/A</v>
      </c>
      <c r="I8" s="19" t="e">
        <f>VLOOKUP(11,Bezirkslsw,4,FALSE)</f>
        <v>#N/A</v>
      </c>
    </row>
    <row r="9" spans="1:9" ht="12.75">
      <c r="A9" s="17">
        <f>IF(B9="Mo",Spieltage!$B$8,IF(B9="Di",Spieltage!$B$9,IF(B9="Mi",Spieltage!$B$10,IF(B9="Do",Spieltage!$B$11,IF(B9="Fr",Spieltage!$B$12,"")))))</f>
        <v>41528</v>
      </c>
      <c r="B9" t="str">
        <f>VLOOKUP(2,Bezirkslsw,3,FALSE)</f>
        <v>Mi</v>
      </c>
      <c r="C9" s="19">
        <f>VLOOKUP(2,Bezirkslsw,4,FALSE)</f>
        <v>0.7916666666666666</v>
      </c>
      <c r="D9" t="str">
        <f>VLOOKUP(2,Bezirkslsw,2,FALSE)</f>
        <v>DJK Saarbrücken-Rastpfuhl   </v>
      </c>
      <c r="E9" s="18" t="s">
        <v>35</v>
      </c>
      <c r="F9" t="str">
        <f>VLOOKUP(9,Bezirkslsw,2,FALSE)</f>
        <v>TTC Lockweiler-Krettnich</v>
      </c>
      <c r="G9" s="17">
        <f>IF(H9="Mo",Spieltage!$F$8,IF(H9="Di",Spieltage!$F$9,IF(H9="Mi",Spieltage!$F$10,IF(H9="Do",Spieltage!$F$11,IF(H9="Fr",Spieltage!$F$12,"")))))</f>
        <v>41645</v>
      </c>
      <c r="H9" t="str">
        <f>VLOOKUP(9,Bezirkslsw,3,FALSE)</f>
        <v>Mo</v>
      </c>
      <c r="I9" s="19">
        <f>VLOOKUP(9,Bezirkslsw,4,FALSE)</f>
        <v>0.8333333333333334</v>
      </c>
    </row>
    <row r="10" spans="1:9" ht="12.75">
      <c r="A10" s="17">
        <f>IF(B10="Mo",Spieltage!$B$8,IF(B10="Di",Spieltage!$B$9,IF(B10="Mi",Spieltage!$B$10,IF(B10="Do",Spieltage!$B$11,IF(B10="Fr",Spieltage!$B$12,"")))))</f>
        <v>41530</v>
      </c>
      <c r="B10" t="str">
        <f>VLOOKUP(3,Bezirkslsw,3,FALSE)</f>
        <v>Fr</v>
      </c>
      <c r="C10" s="19">
        <f>VLOOKUP(3,Bezirkslsw,4,FALSE)</f>
        <v>0.8125</v>
      </c>
      <c r="D10" t="str">
        <f>VLOOKUP(3,Bezirkslsw,2,FALSE)</f>
        <v>DJK Dudweiler 2</v>
      </c>
      <c r="E10" s="18" t="s">
        <v>35</v>
      </c>
      <c r="F10" t="str">
        <f>VLOOKUP(8,Bezirkslsw,2,FALSE)</f>
        <v>TTC Köllerbach 2</v>
      </c>
      <c r="G10" s="17">
        <f>IF(H10="Mo",Spieltage!$F$8,IF(H10="Di",Spieltage!$F$9,IF(H10="Mi",Spieltage!$F$10,IF(H10="Do",Spieltage!$F$11,IF(H10="Fr",Spieltage!$F$12,"")))))</f>
        <v>41646</v>
      </c>
      <c r="H10" t="str">
        <f>VLOOKUP(8,Bezirkslsw,3,FALSE)</f>
        <v>Di</v>
      </c>
      <c r="I10" s="19">
        <f>VLOOKUP(8,Bezirkslsw,4,FALSE)</f>
        <v>0.8125</v>
      </c>
    </row>
    <row r="11" spans="1:9" ht="12.75">
      <c r="A11" s="17">
        <f>IF(B11="Mo",Spieltage!$B$8,IF(B11="Di",Spieltage!$B$9,IF(B11="Mi",Spieltage!$B$10,IF(B11="Do",Spieltage!$B$11,IF(B11="Fr",Spieltage!$B$12,"")))))</f>
        <v>41529</v>
      </c>
      <c r="B11" t="str">
        <f>VLOOKUP(4,Bezirkslsw,3,FALSE)</f>
        <v>Do</v>
      </c>
      <c r="C11" s="19">
        <f>VLOOKUP(4,Bezirkslsw,4,FALSE)</f>
        <v>0.7916666666666666</v>
      </c>
      <c r="D11" t="str">
        <f>VLOOKUP(4,Bezirkslsw,2,FALSE)</f>
        <v>TTG Dillingen 2</v>
      </c>
      <c r="E11" s="18" t="s">
        <v>35</v>
      </c>
      <c r="F11" t="str">
        <f>VLOOKUP(7,Bezirkslsw,2,FALSE)</f>
        <v>TTSV Fraulautern</v>
      </c>
      <c r="G11" s="17">
        <f>IF(H11="Mo",Spieltage!$F$8,IF(H11="Di",Spieltage!$F$9,IF(H11="Mi",Spieltage!$F$10,IF(H11="Do",Spieltage!$F$11,IF(H11="Fr",Spieltage!$F$12,"")))))</f>
        <v>41645</v>
      </c>
      <c r="H11" t="str">
        <f>VLOOKUP(7,Bezirkslsw,3,FALSE)</f>
        <v>Mo</v>
      </c>
      <c r="I11" s="19">
        <f>VLOOKUP(7,Bezirkslsw,4,FALSE)</f>
        <v>0.7916666666666666</v>
      </c>
    </row>
    <row r="12" spans="1:9" ht="12.75">
      <c r="A12" s="17">
        <f>IF(B12="Mo",Spieltage!$B$8,IF(B12="Di",Spieltage!$B$9,IF(B12="Mi",Spieltage!$B$10,IF(B12="Do",Spieltage!$B$11,IF(B12="Fr",Spieltage!$B$12,"")))))</f>
      </c>
      <c r="B12" t="str">
        <f>VLOOKUP(10,Bezirkslsw,3,FALSE)</f>
        <v> </v>
      </c>
      <c r="C12" s="19" t="str">
        <f>VLOOKUP(10,Bezirkslsw,4,FALSE)</f>
        <v> </v>
      </c>
      <c r="D12" t="str">
        <f>VLOOKUP(10,Bezirkslsw,2,FALSE)</f>
        <v>spielfrei</v>
      </c>
      <c r="E12" s="18" t="s">
        <v>35</v>
      </c>
      <c r="F12" t="str">
        <f>VLOOKUP(6,Bezirkslsw,2,FALSE)</f>
        <v>DJK Heusweiler 2</v>
      </c>
      <c r="G12" s="17">
        <f>IF(H12="Mo",Spieltage!$F$8,IF(H12="Di",Spieltage!$F$9,IF(H12="Mi",Spieltage!$F$10,IF(H12="Do",Spieltage!$F$11,IF(H12="Fr",Spieltage!$F$12,"")))))</f>
        <v>41649</v>
      </c>
      <c r="H12" t="str">
        <f>VLOOKUP(6,Bezirkslsw,3,FALSE)</f>
        <v>Fr</v>
      </c>
      <c r="I12" s="19">
        <f>VLOOKUP(6,Bezirkslsw,4,FALSE)</f>
        <v>0.7916666666666666</v>
      </c>
    </row>
    <row r="13" spans="1:9" ht="12.75">
      <c r="A13" s="17" t="e">
        <f>IF(B13="Mo",Spieltage!$B$8,IF(B13="Di",Spieltage!$B$9,IF(B13="Mi",Spieltage!$B$10,IF(B13="Do",Spieltage!$B$11,IF(B13="Fr",Spieltage!$B$12,"")))))</f>
        <v>#N/A</v>
      </c>
      <c r="B13" t="e">
        <f>VLOOKUP(12,Bezirkslsw,3,FALSE)</f>
        <v>#N/A</v>
      </c>
      <c r="C13" s="19" t="e">
        <f>VLOOKUP(12,Bezirkslsw,4,FALSE)</f>
        <v>#N/A</v>
      </c>
      <c r="D13" t="e">
        <f>VLOOKUP(12,Bezirkslsw,2,FALSE)</f>
        <v>#N/A</v>
      </c>
      <c r="E13" s="18" t="s">
        <v>35</v>
      </c>
      <c r="F13" t="str">
        <f>VLOOKUP(5,Bezirkslsw,2,FALSE)</f>
        <v>TTC Wehrden </v>
      </c>
      <c r="G13" s="17">
        <f>IF(H13="Mo",Spieltage!$F$8,IF(H13="Di",Spieltage!$F$9,IF(H13="Mi",Spieltage!$F$10,IF(H13="Do",Spieltage!$F$11,IF(H13="Fr",Spieltage!$F$12,"")))))</f>
        <v>41645</v>
      </c>
      <c r="H13" t="str">
        <f>VLOOKUP(5,Bezirkslsw,3,FALSE)</f>
        <v>Mo</v>
      </c>
      <c r="I13" s="19">
        <f>VLOOKUP(5,Bezirkslsw,4,FALSE)</f>
        <v>0.7916666666666666</v>
      </c>
    </row>
    <row r="15" spans="1:9" ht="12.75">
      <c r="A15" s="17">
        <f>IF(B15="Mo",Spieltage!$B$13,IF(B15="Di",Spieltage!$B$14,IF(B15="Mi",Spieltage!$B$15,IF(B15="Do",Spieltage!$B$16,IF(B15="Fr",Spieltage!$B$17,"")))))</f>
        <v>41536</v>
      </c>
      <c r="B15" t="str">
        <f>VLOOKUP(1,Bezirkslsw,3,FALSE)</f>
        <v>Do</v>
      </c>
      <c r="C15" s="19">
        <f>VLOOKUP(1,Bezirkslsw,4,FALSE)</f>
        <v>0.8333333333333334</v>
      </c>
      <c r="D15" t="str">
        <f>VLOOKUP(1,Bezirkslsw,2,FALSE)</f>
        <v>TTC Schwarzenholz</v>
      </c>
      <c r="E15" s="18" t="s">
        <v>35</v>
      </c>
      <c r="F15" t="str">
        <f>VLOOKUP(4,Bezirkslsw,2,FALSE)</f>
        <v>TTG Dillingen 2</v>
      </c>
      <c r="G15" s="17">
        <f>IF(H15="Mo",Spieltage!$F$13,IF(H15="Di",Spieltage!$F$14,IF(H15="Mi",Spieltage!$F$15,IF(H15="Do",Spieltage!$F$16,IF(H15="Fr",Spieltage!$F$17,"")))))</f>
        <v>41662</v>
      </c>
      <c r="H15" t="str">
        <f>VLOOKUP(4,Bezirkslsw,3,FALSE)</f>
        <v>Do</v>
      </c>
      <c r="I15" s="19">
        <f>VLOOKUP(4,Bezirkslsw,4,FALSE)</f>
        <v>0.7916666666666666</v>
      </c>
    </row>
    <row r="16" spans="1:9" ht="12.75">
      <c r="A16" s="17">
        <f>IF(B16="Mo",Spieltage!$B$13,IF(B16="Di",Spieltage!$B$14,IF(B16="Mi",Spieltage!$B$15,IF(B16="Do",Spieltage!$B$16,IF(B16="Fr",Spieltage!$B$17,"")))))</f>
        <v>41537</v>
      </c>
      <c r="B16" t="str">
        <f>VLOOKUP(6,Bezirkslsw,3,FALSE)</f>
        <v>Fr</v>
      </c>
      <c r="C16" s="19">
        <f>VLOOKUP(6,Bezirkslsw,4,FALSE)</f>
        <v>0.7916666666666666</v>
      </c>
      <c r="D16" t="str">
        <f>VLOOKUP(6,Bezirkslsw,2,FALSE)</f>
        <v>DJK Heusweiler 2</v>
      </c>
      <c r="E16" s="18" t="s">
        <v>35</v>
      </c>
      <c r="F16" t="e">
        <f>VLOOKUP(12,Bezirkslsw,2,FALSE)</f>
        <v>#N/A</v>
      </c>
      <c r="G16" s="17" t="e">
        <f>IF(H16="Mo",Spieltage!$F$13,IF(H16="Di",Spieltage!$F$14,IF(H16="Mi",Spieltage!$F$15,IF(H16="Do",Spieltage!$F$16,IF(H16="Fr",Spieltage!$F$17,"")))))</f>
        <v>#N/A</v>
      </c>
      <c r="H16" t="e">
        <f>VLOOKUP(12,Bezirkslsw,3,FALSE)</f>
        <v>#N/A</v>
      </c>
      <c r="I16" s="19" t="e">
        <f>VLOOKUP(12,Bezirkslsw,4,FALSE)</f>
        <v>#N/A</v>
      </c>
    </row>
    <row r="17" spans="1:9" ht="12.75">
      <c r="A17" s="17">
        <f>IF(B17="Mo",Spieltage!$B$13,IF(B17="Di",Spieltage!$B$14,IF(B17="Mi",Spieltage!$B$15,IF(B17="Do",Spieltage!$B$16,IF(B17="Fr",Spieltage!$B$17,"")))))</f>
        <v>41533</v>
      </c>
      <c r="B17" t="str">
        <f>VLOOKUP(7,Bezirkslsw,3,FALSE)</f>
        <v>Mo</v>
      </c>
      <c r="C17" s="19">
        <f>VLOOKUP(7,Bezirkslsw,4,FALSE)</f>
        <v>0.7916666666666666</v>
      </c>
      <c r="D17" t="str">
        <f>VLOOKUP(7,Bezirkslsw,2,FALSE)</f>
        <v>TTSV Fraulautern</v>
      </c>
      <c r="E17" s="18" t="s">
        <v>35</v>
      </c>
      <c r="F17" t="str">
        <f>VLOOKUP(10,Bezirkslsw,2,FALSE)</f>
        <v>spielfrei</v>
      </c>
      <c r="G17" s="17">
        <f>IF(H17="Mo",Spieltage!$F$13,IF(H17="Di",Spieltage!$F$14,IF(H17="Mi",Spieltage!$F$15,IF(H17="Do",Spieltage!$F$16,IF(H17="Fr",Spieltage!$F$17,"")))))</f>
      </c>
      <c r="H17" t="str">
        <f>VLOOKUP(10,Bezirkslsw,3,FALSE)</f>
        <v> </v>
      </c>
      <c r="I17" s="19" t="str">
        <f>VLOOKUP(10,Bezirkslsw,4,FALSE)</f>
        <v> </v>
      </c>
    </row>
    <row r="18" spans="1:9" ht="12.75">
      <c r="A18" s="17">
        <f>IF(B18="Mo",Spieltage!$B$13,IF(B18="Di",Spieltage!$B$14,IF(B18="Mi",Spieltage!$B$15,IF(B18="Do",Spieltage!$B$16,IF(B18="Fr",Spieltage!$B$17,"")))))</f>
        <v>41534</v>
      </c>
      <c r="B18" t="str">
        <f>VLOOKUP(8,Bezirkslsw,3,FALSE)</f>
        <v>Di</v>
      </c>
      <c r="C18" s="19">
        <f>VLOOKUP(8,Bezirkslsw,4,FALSE)</f>
        <v>0.8125</v>
      </c>
      <c r="D18" t="str">
        <f>VLOOKUP(8,Bezirkslsw,2,FALSE)</f>
        <v>TTC Köllerbach 2</v>
      </c>
      <c r="E18" s="18" t="s">
        <v>35</v>
      </c>
      <c r="F18" t="str">
        <f>VLOOKUP(5,Bezirkslsw,2,FALSE)</f>
        <v>TTC Wehrden </v>
      </c>
      <c r="G18" s="17">
        <f>IF(H18="Mo",Spieltage!$F$13,IF(H18="Di",Spieltage!$F$14,IF(H18="Mi",Spieltage!$F$15,IF(H18="Do",Spieltage!$F$16,IF(H18="Fr",Spieltage!$F$17,"")))))</f>
        <v>41659</v>
      </c>
      <c r="H18" t="str">
        <f>VLOOKUP(5,Bezirkslsw,3,FALSE)</f>
        <v>Mo</v>
      </c>
      <c r="I18" s="19">
        <f>VLOOKUP(5,Bezirkslsw,4,FALSE)</f>
        <v>0.7916666666666666</v>
      </c>
    </row>
    <row r="19" spans="1:9" ht="12.75">
      <c r="A19" s="17">
        <f>IF(B19="Mo",Spieltage!$B$13,IF(B19="Di",Spieltage!$B$14,IF(B19="Mi",Spieltage!$B$15,IF(B19="Do",Spieltage!$B$16,IF(B19="Fr",Spieltage!$B$17,"")))))</f>
        <v>41533</v>
      </c>
      <c r="B19" t="str">
        <f>VLOOKUP(9,Bezirkslsw,3,FALSE)</f>
        <v>Mo</v>
      </c>
      <c r="C19" s="19">
        <f>VLOOKUP(9,Bezirkslsw,4,FALSE)</f>
        <v>0.8333333333333334</v>
      </c>
      <c r="D19" t="str">
        <f>VLOOKUP(9,Bezirkslsw,2,FALSE)</f>
        <v>TTC Lockweiler-Krettnich</v>
      </c>
      <c r="E19" s="18" t="s">
        <v>35</v>
      </c>
      <c r="F19" t="str">
        <f>VLOOKUP(3,Bezirkslsw,2,FALSE)</f>
        <v>DJK Dudweiler 2</v>
      </c>
      <c r="G19" s="17">
        <f>IF(H19="Mo",Spieltage!$F$13,IF(H19="Di",Spieltage!$F$14,IF(H19="Mi",Spieltage!$F$15,IF(H19="Do",Spieltage!$F$16,IF(H19="Fr",Spieltage!$F$17,"")))))</f>
        <v>41663</v>
      </c>
      <c r="H19" t="str">
        <f>VLOOKUP(3,Bezirkslsw,3,FALSE)</f>
        <v>Fr</v>
      </c>
      <c r="I19" s="19">
        <f>VLOOKUP(3,Bezirkslsw,4,FALSE)</f>
        <v>0.8125</v>
      </c>
    </row>
    <row r="20" spans="1:9" ht="12.75">
      <c r="A20" s="17" t="e">
        <f>IF(B20="Mo",Spieltage!$B$13,IF(B20="Di",Spieltage!$B$14,IF(B20="Mi",Spieltage!$B$15,IF(B20="Do",Spieltage!$B$16,IF(B20="Fr",Spieltage!$B$17,"")))))</f>
        <v>#N/A</v>
      </c>
      <c r="B20" t="e">
        <f>VLOOKUP(11,Bezirkslsw,3,FALSE)</f>
        <v>#N/A</v>
      </c>
      <c r="C20" s="19" t="e">
        <f>VLOOKUP(11,Bezirkslsw,4,FALSE)</f>
        <v>#N/A</v>
      </c>
      <c r="D20" t="e">
        <f>VLOOKUP(11,Bezirkslsw,2,FALSE)</f>
        <v>#N/A</v>
      </c>
      <c r="E20" s="18" t="s">
        <v>35</v>
      </c>
      <c r="F20" t="str">
        <f>VLOOKUP(2,Bezirkslsw,2,FALSE)</f>
        <v>DJK Saarbrücken-Rastpfuhl   </v>
      </c>
      <c r="G20" s="17">
        <f>IF(H20="Mo",Spieltage!$F$13,IF(H20="Di",Spieltage!$F$14,IF(H20="Mi",Spieltage!$F$15,IF(H20="Do",Spieltage!$F$16,IF(H20="Fr",Spieltage!$F$17,"")))))</f>
        <v>41661</v>
      </c>
      <c r="H20" t="str">
        <f>VLOOKUP(2,Bezirkslsw,3,FALSE)</f>
        <v>Mi</v>
      </c>
      <c r="I20" s="19">
        <f>VLOOKUP(2,Bezirkslsw,4,FALSE)</f>
        <v>0.7916666666666666</v>
      </c>
    </row>
    <row r="21" ht="12.75">
      <c r="E21" s="18"/>
    </row>
    <row r="22" spans="1:9" ht="12.75">
      <c r="A22" s="17">
        <f>IF(B22="Mo",Spieltage!$B$18,IF(B22="Di",Spieltage!$B$19,IF(B22="Mi",Spieltage!$B$20,IF(B22="Do",Spieltage!$B$21,IF(B22="Fr",Spieltage!$B$22,"")))))</f>
        <v>41542</v>
      </c>
      <c r="B22" t="str">
        <f>VLOOKUP(2,Bezirkslsw,3,FALSE)</f>
        <v>Mi</v>
      </c>
      <c r="C22" s="19">
        <f>VLOOKUP(2,Bezirkslsw,4,FALSE)</f>
        <v>0.7916666666666666</v>
      </c>
      <c r="D22" t="str">
        <f>VLOOKUP(2,Bezirkslsw,2,FALSE)</f>
        <v>DJK Saarbrücken-Rastpfuhl   </v>
      </c>
      <c r="E22" s="18" t="s">
        <v>35</v>
      </c>
      <c r="F22" t="str">
        <f>VLOOKUP(1,Bezirkslsw,2,FALSE)</f>
        <v>TTC Schwarzenholz</v>
      </c>
      <c r="G22" s="17">
        <f>IF(H22="Mo",Spieltage!$F$18,IF(H22="Di",Spieltage!$F$19,IF(H22="Mi",Spieltage!$F$20,IF(H22="Do",Spieltage!$F$21,IF(H22="Fr",Spieltage!$F$22,"")))))</f>
        <v>41669</v>
      </c>
      <c r="H22" t="str">
        <f>VLOOKUP(1,Bezirkslsw,3,FALSE)</f>
        <v>Do</v>
      </c>
      <c r="I22" s="19">
        <f>VLOOKUP(1,Bezirkslsw,4,FALSE)</f>
        <v>0.8333333333333334</v>
      </c>
    </row>
    <row r="23" spans="1:9" ht="12.75">
      <c r="A23" s="17">
        <f>IF(B23="Mo",Spieltage!$B$18,IF(B23="Di",Spieltage!$B$19,IF(B23="Mi",Spieltage!$B$20,IF(B23="Do",Spieltage!$B$21,IF(B23="Fr",Spieltage!$B$22,"")))))</f>
        <v>41544</v>
      </c>
      <c r="B23" t="str">
        <f>VLOOKUP(3,Bezirkslsw,3,FALSE)</f>
        <v>Fr</v>
      </c>
      <c r="C23" s="19">
        <f>VLOOKUP(3,Bezirkslsw,4,FALSE)</f>
        <v>0.8125</v>
      </c>
      <c r="D23" t="str">
        <f>VLOOKUP(3,Bezirkslsw,2,FALSE)</f>
        <v>DJK Dudweiler 2</v>
      </c>
      <c r="E23" s="18" t="s">
        <v>35</v>
      </c>
      <c r="F23" t="e">
        <f>VLOOKUP(11,Bezirkslsw,2,FALSE)</f>
        <v>#N/A</v>
      </c>
      <c r="G23" s="17" t="e">
        <f>IF(H23="Mo",Spieltage!$F$18,IF(H23="Di",Spieltage!$F$19,IF(H23="Mi",Spieltage!$F$20,IF(H23="Do",Spieltage!$F$21,IF(H23="Fr",Spieltage!$F$22,"")))))</f>
        <v>#N/A</v>
      </c>
      <c r="H23" t="e">
        <f>VLOOKUP(11,Bezirkslsw,3,FALSE)</f>
        <v>#N/A</v>
      </c>
      <c r="I23" s="19" t="e">
        <f>VLOOKUP(11,Bezirkslsw,4,FALSE)</f>
        <v>#N/A</v>
      </c>
    </row>
    <row r="24" spans="1:9" ht="12.75">
      <c r="A24" s="17">
        <f>IF(B24="Mo",Spieltage!$B$18,IF(B24="Di",Spieltage!$B$19,IF(B24="Mi",Spieltage!$B$20,IF(B24="Do",Spieltage!$B$21,IF(B24="Fr",Spieltage!$B$22,"")))))</f>
        <v>41543</v>
      </c>
      <c r="B24" t="str">
        <f>VLOOKUP(4,Bezirkslsw,3,FALSE)</f>
        <v>Do</v>
      </c>
      <c r="C24" s="19">
        <f>VLOOKUP(4,Bezirkslsw,4,FALSE)</f>
        <v>0.7916666666666666</v>
      </c>
      <c r="D24" t="str">
        <f>VLOOKUP(4,Bezirkslsw,2,FALSE)</f>
        <v>TTG Dillingen 2</v>
      </c>
      <c r="E24" s="18" t="s">
        <v>35</v>
      </c>
      <c r="F24" t="str">
        <f>VLOOKUP(9,Bezirkslsw,2,FALSE)</f>
        <v>TTC Lockweiler-Krettnich</v>
      </c>
      <c r="G24" s="17">
        <f>IF(H24="Mo",Spieltage!$F$18,IF(H24="Di",Spieltage!$F$19,IF(H24="Mi",Spieltage!$F$20,IF(H24="Do",Spieltage!$F$21,IF(H24="Fr",Spieltage!$F$22,"")))))</f>
        <v>41666</v>
      </c>
      <c r="H24" t="str">
        <f>VLOOKUP(9,Bezirkslsw,3,FALSE)</f>
        <v>Mo</v>
      </c>
      <c r="I24" s="19">
        <f>VLOOKUP(9,Bezirkslsw,4,FALSE)</f>
        <v>0.8333333333333334</v>
      </c>
    </row>
    <row r="25" spans="1:9" ht="12.75">
      <c r="A25" s="17">
        <f>IF(B25="Mo",Spieltage!$B$18,IF(B25="Di",Spieltage!$B$19,IF(B25="Mi",Spieltage!$B$20,IF(B25="Do",Spieltage!$B$21,IF(B25="Fr",Spieltage!$B$22,"")))))</f>
        <v>41540</v>
      </c>
      <c r="B25" t="str">
        <f>VLOOKUP(5,Bezirkslsw,3,FALSE)</f>
        <v>Mo</v>
      </c>
      <c r="C25" s="19">
        <f>VLOOKUP(5,Bezirkslsw,4,FALSE)</f>
        <v>0.7916666666666666</v>
      </c>
      <c r="D25" t="str">
        <f>VLOOKUP(5,Bezirkslsw,2,FALSE)</f>
        <v>TTC Wehrden </v>
      </c>
      <c r="E25" s="18" t="s">
        <v>35</v>
      </c>
      <c r="F25" t="str">
        <f>VLOOKUP(6,Bezirkslsw,2,FALSE)</f>
        <v>DJK Heusweiler 2</v>
      </c>
      <c r="G25" s="17">
        <f>IF(H25="Mo",Spieltage!$F$18,IF(H25="Di",Spieltage!$F$19,IF(H25="Mi",Spieltage!$F$20,IF(H25="Do",Spieltage!$F$21,IF(H25="Fr",Spieltage!$F$22,"")))))</f>
        <v>41670</v>
      </c>
      <c r="H25" t="str">
        <f>VLOOKUP(6,Bezirkslsw,3,FALSE)</f>
        <v>Fr</v>
      </c>
      <c r="I25" s="19">
        <f>VLOOKUP(6,Bezirkslsw,4,FALSE)</f>
        <v>0.7916666666666666</v>
      </c>
    </row>
    <row r="26" spans="1:9" ht="12.75">
      <c r="A26" s="17">
        <f>IF(B26="Mo",Spieltage!$B$18,IF(B26="Di",Spieltage!$B$19,IF(B26="Mi",Spieltage!$B$20,IF(B26="Do",Spieltage!$B$21,IF(B26="Fr",Spieltage!$B$22,"")))))</f>
      </c>
      <c r="B26" t="str">
        <f>VLOOKUP(10,Bezirkslsw,3,FALSE)</f>
        <v> </v>
      </c>
      <c r="C26" s="19" t="str">
        <f>VLOOKUP(10,Bezirkslsw,4,FALSE)</f>
        <v> </v>
      </c>
      <c r="D26" t="str">
        <f>VLOOKUP(10,Bezirkslsw,2,FALSE)</f>
        <v>spielfrei</v>
      </c>
      <c r="E26" s="18" t="s">
        <v>35</v>
      </c>
      <c r="F26" t="str">
        <f>VLOOKUP(8,Bezirkslsw,2,FALSE)</f>
        <v>TTC Köllerbach 2</v>
      </c>
      <c r="G26" s="17">
        <f>IF(H26="Mo",Spieltage!$F$18,IF(H26="Di",Spieltage!$F$19,IF(H26="Mi",Spieltage!$F$20,IF(H26="Do",Spieltage!$F$21,IF(H26="Fr",Spieltage!$F$22,"")))))</f>
        <v>41667</v>
      </c>
      <c r="H26" t="str">
        <f>VLOOKUP(8,Bezirkslsw,3,FALSE)</f>
        <v>Di</v>
      </c>
      <c r="I26" s="19">
        <f>VLOOKUP(8,Bezirkslsw,4,FALSE)</f>
        <v>0.8125</v>
      </c>
    </row>
    <row r="27" spans="1:9" ht="12.75">
      <c r="A27" s="17" t="e">
        <f>IF(B27="Mo",Spieltage!$B$18,IF(B27="Di",Spieltage!$B$19,IF(B27="Mi",Spieltage!$B$20,IF(B27="Do",Spieltage!$B$21,IF(B27="Fr",Spieltage!$B$22,"")))))</f>
        <v>#N/A</v>
      </c>
      <c r="B27" t="e">
        <f>VLOOKUP(12,Bezirkslsw,3,FALSE)</f>
        <v>#N/A</v>
      </c>
      <c r="C27" s="19" t="e">
        <f>VLOOKUP(12,Bezirkslsw,4,FALSE)</f>
        <v>#N/A</v>
      </c>
      <c r="D27" t="e">
        <f>VLOOKUP(12,Bezirkslsw,2,FALSE)</f>
        <v>#N/A</v>
      </c>
      <c r="E27" s="18" t="s">
        <v>35</v>
      </c>
      <c r="F27" t="str">
        <f>VLOOKUP(7,Bezirkslsw,2,FALSE)</f>
        <v>TTSV Fraulautern</v>
      </c>
      <c r="G27" s="17">
        <f>IF(H27="Mo",Spieltage!$F$18,IF(H27="Di",Spieltage!$F$19,IF(H27="Mi",Spieltage!$F$20,IF(H27="Do",Spieltage!$F$21,IF(H27="Fr",Spieltage!$F$22,"")))))</f>
        <v>41666</v>
      </c>
      <c r="H27" t="str">
        <f>VLOOKUP(7,Bezirkslsw,3,FALSE)</f>
        <v>Mo</v>
      </c>
      <c r="I27" s="19">
        <f>VLOOKUP(7,Bezirkslsw,4,FALSE)</f>
        <v>0.7916666666666666</v>
      </c>
    </row>
    <row r="29" spans="1:9" ht="12.75">
      <c r="A29" s="17">
        <f>IF(B29="Mo",Spieltage!$B$23,IF(B29="Di",Spieltage!$B$24,IF(B29="Mi",Spieltage!$B$25,IF(B29="Do",Spieltage!$B$26,IF(B29="Fr",Spieltage!$B$27,"")))))</f>
        <v>41557</v>
      </c>
      <c r="B29" t="str">
        <f>VLOOKUP(1,Bezirkslsw,3,FALSE)</f>
        <v>Do</v>
      </c>
      <c r="C29" s="19">
        <f>VLOOKUP(1,Bezirkslsw,4,FALSE)</f>
        <v>0.8333333333333334</v>
      </c>
      <c r="D29" t="str">
        <f>VLOOKUP(1,Bezirkslsw,2,FALSE)</f>
        <v>TTC Schwarzenholz</v>
      </c>
      <c r="E29" s="18" t="s">
        <v>35</v>
      </c>
      <c r="F29" t="e">
        <f>VLOOKUP(12,Bezirkslsw,2,FALSE)</f>
        <v>#N/A</v>
      </c>
      <c r="G29" s="17" t="e">
        <f>IF(H29="Mo",Spieltage!$F$23,IF(H29="Di",Spieltage!$F$24,IF(H29="Mi",Spieltage!$F$25,IF(H29="Do",Spieltage!$F$26,IF(H29="Fr",Spieltage!$F$27,"")))))</f>
        <v>#N/A</v>
      </c>
      <c r="H29" t="e">
        <f>VLOOKUP(12,Bezirkslsw,3,FALSE)</f>
        <v>#N/A</v>
      </c>
      <c r="I29" s="19" t="e">
        <f>VLOOKUP(12,Bezirkslsw,4,FALSE)</f>
        <v>#N/A</v>
      </c>
    </row>
    <row r="30" spans="1:9" ht="12.75">
      <c r="A30" s="17">
        <f>IF(B30="Mo",Spieltage!$B$23,IF(B30="Di",Spieltage!$B$24,IF(B30="Mi",Spieltage!$B$25,IF(B30="Do",Spieltage!$B$26,IF(B30="Fr",Spieltage!$B$27,"")))))</f>
        <v>41556</v>
      </c>
      <c r="B30" t="str">
        <f>VLOOKUP(2,Bezirkslsw,3,FALSE)</f>
        <v>Mi</v>
      </c>
      <c r="C30" s="19">
        <f>VLOOKUP(2,Bezirkslsw,4,FALSE)</f>
        <v>0.7916666666666666</v>
      </c>
      <c r="D30" t="str">
        <f>VLOOKUP(2,Bezirkslsw,2,FALSE)</f>
        <v>DJK Saarbrücken-Rastpfuhl   </v>
      </c>
      <c r="E30" s="18" t="s">
        <v>35</v>
      </c>
      <c r="F30" t="str">
        <f>VLOOKUP(3,Bezirkslsw,2,FALSE)</f>
        <v>DJK Dudweiler 2</v>
      </c>
      <c r="G30" s="17">
        <f>IF(H30="Mo",Spieltage!$F$23,IF(H30="Di",Spieltage!$F$24,IF(H30="Mi",Spieltage!$F$25,IF(H30="Do",Spieltage!$F$26,IF(H30="Fr",Spieltage!$F$27,"")))))</f>
        <v>41677</v>
      </c>
      <c r="H30" t="str">
        <f>VLOOKUP(3,Bezirkslsw,3,FALSE)</f>
        <v>Fr</v>
      </c>
      <c r="I30" s="19">
        <f>VLOOKUP(3,Bezirkslsw,4,FALSE)</f>
        <v>0.8125</v>
      </c>
    </row>
    <row r="31" spans="1:9" ht="12.75">
      <c r="A31" s="17">
        <f>IF(B31="Mo",Spieltage!$B$23,IF(B31="Di",Spieltage!$B$24,IF(B31="Mi",Spieltage!$B$25,IF(B31="Do",Spieltage!$B$26,IF(B31="Fr",Spieltage!$B$27,"")))))</f>
        <v>41554</v>
      </c>
      <c r="B31" t="str">
        <f>VLOOKUP(7,Bezirkslsw,3,FALSE)</f>
        <v>Mo</v>
      </c>
      <c r="C31" s="19">
        <f>VLOOKUP(7,Bezirkslsw,4,FALSE)</f>
        <v>0.7916666666666666</v>
      </c>
      <c r="D31" t="str">
        <f>VLOOKUP(7,Bezirkslsw,2,FALSE)</f>
        <v>TTSV Fraulautern</v>
      </c>
      <c r="E31" s="18" t="s">
        <v>35</v>
      </c>
      <c r="F31" t="str">
        <f>VLOOKUP(6,Bezirkslsw,2,FALSE)</f>
        <v>DJK Heusweiler 2</v>
      </c>
      <c r="G31" s="17">
        <f>IF(H31="Mo",Spieltage!$F$23,IF(H31="Di",Spieltage!$F$24,IF(H31="Mi",Spieltage!$F$25,IF(H31="Do",Spieltage!$F$26,IF(H31="Fr",Spieltage!$F$27,"")))))</f>
        <v>41677</v>
      </c>
      <c r="H31" t="str">
        <f>VLOOKUP(6,Bezirkslsw,3,FALSE)</f>
        <v>Fr</v>
      </c>
      <c r="I31" s="19">
        <f>VLOOKUP(6,Bezirkslsw,4,FALSE)</f>
        <v>0.7916666666666666</v>
      </c>
    </row>
    <row r="32" spans="1:9" ht="12.75">
      <c r="A32" s="17">
        <f>IF(B32="Mo",Spieltage!$B$23,IF(B32="Di",Spieltage!$B$24,IF(B32="Mi",Spieltage!$B$25,IF(B32="Do",Spieltage!$B$26,IF(B32="Fr",Spieltage!$B$27,"")))))</f>
        <v>41555</v>
      </c>
      <c r="B32" t="str">
        <f>VLOOKUP(8,Bezirkslsw,3,FALSE)</f>
        <v>Di</v>
      </c>
      <c r="C32" s="19">
        <f>VLOOKUP(8,Bezirkslsw,4,FALSE)</f>
        <v>0.8125</v>
      </c>
      <c r="D32" t="str">
        <f>VLOOKUP(8,Bezirkslsw,2,FALSE)</f>
        <v>TTC Köllerbach 2</v>
      </c>
      <c r="E32" s="18" t="s">
        <v>35</v>
      </c>
      <c r="F32" t="str">
        <f>VLOOKUP(4,Bezirkslsw,2,FALSE)</f>
        <v>TTG Dillingen 2</v>
      </c>
      <c r="G32" s="17">
        <f>IF(H32="Mo",Spieltage!$F$23,IF(H32="Di",Spieltage!$F$24,IF(H32="Mi",Spieltage!$F$25,IF(H32="Do",Spieltage!$F$26,IF(H32="Fr",Spieltage!$F$27,"")))))</f>
        <v>41676</v>
      </c>
      <c r="H32" t="str">
        <f>VLOOKUP(4,Bezirkslsw,3,FALSE)</f>
        <v>Do</v>
      </c>
      <c r="I32" s="19">
        <f>VLOOKUP(4,Bezirkslsw,4,FALSE)</f>
        <v>0.7916666666666666</v>
      </c>
    </row>
    <row r="33" spans="1:9" ht="12.75">
      <c r="A33" s="17">
        <f>IF(B33="Mo",Spieltage!$B$23,IF(B33="Di",Spieltage!$B$24,IF(B33="Mi",Spieltage!$B$25,IF(B33="Do",Spieltage!$B$26,IF(B33="Fr",Spieltage!$B$27,"")))))</f>
        <v>41554</v>
      </c>
      <c r="B33" t="str">
        <f>VLOOKUP(9,Bezirkslsw,3,FALSE)</f>
        <v>Mo</v>
      </c>
      <c r="C33" s="19">
        <f>VLOOKUP(9,Bezirkslsw,4,FALSE)</f>
        <v>0.8333333333333334</v>
      </c>
      <c r="D33" t="str">
        <f>VLOOKUP(9,Bezirkslsw,2,FALSE)</f>
        <v>TTC Lockweiler-Krettnich</v>
      </c>
      <c r="E33" s="18" t="s">
        <v>35</v>
      </c>
      <c r="F33" t="str">
        <f>VLOOKUP(10,Bezirkslsw,2,FALSE)</f>
        <v>spielfrei</v>
      </c>
      <c r="G33" s="17">
        <f>IF(H33="Mo",Spieltage!$F$23,IF(H33="Di",Spieltage!$F$24,IF(H33="Mi",Spieltage!$F$25,IF(H33="Do",Spieltage!$F$26,IF(H33="Fr",Spieltage!$F$27,"")))))</f>
      </c>
      <c r="H33" t="str">
        <f>VLOOKUP(10,Bezirkslsw,3,FALSE)</f>
        <v> </v>
      </c>
      <c r="I33" s="19" t="str">
        <f>VLOOKUP(10,Bezirkslsw,4,FALSE)</f>
        <v> </v>
      </c>
    </row>
    <row r="34" spans="1:9" ht="12.75">
      <c r="A34" s="17" t="e">
        <f>IF(B34="Mo",Spieltage!$B$23,IF(B34="Di",Spieltage!$B$24,IF(B34="Mi",Spieltage!$B$25,IF(B34="Do",Spieltage!$B$26,IF(B34="Fr",Spieltage!$B$27,"")))))</f>
        <v>#N/A</v>
      </c>
      <c r="B34" t="e">
        <f>VLOOKUP(11,Bezirkslsw,3,FALSE)</f>
        <v>#N/A</v>
      </c>
      <c r="C34" s="19" t="e">
        <f>VLOOKUP(11,Bezirkslsw,4,FALSE)</f>
        <v>#N/A</v>
      </c>
      <c r="D34" t="e">
        <f>VLOOKUP(11,Bezirkslsw,2,FALSE)</f>
        <v>#N/A</v>
      </c>
      <c r="E34" s="18" t="s">
        <v>35</v>
      </c>
      <c r="F34" t="str">
        <f>VLOOKUP(5,Bezirkslsw,2,FALSE)</f>
        <v>TTC Wehrden </v>
      </c>
      <c r="G34" s="17">
        <f>IF(H34="Mo",Spieltage!$F$23,IF(H34="Di",Spieltage!$F$24,IF(H34="Mi",Spieltage!$F$25,IF(H34="Do",Spieltage!$F$26,IF(H34="Fr",Spieltage!$F$27,"")))))</f>
        <v>41673</v>
      </c>
      <c r="H34" t="str">
        <f>VLOOKUP(5,Bezirkslsw,3,FALSE)</f>
        <v>Mo</v>
      </c>
      <c r="I34" s="19">
        <f>VLOOKUP(5,Bezirkslsw,4,FALSE)</f>
        <v>0.7916666666666666</v>
      </c>
    </row>
    <row r="36" spans="1:9" ht="12.75">
      <c r="A36" s="17">
        <f>IF(B36="Mo",Spieltage!$B$28,IF(B36="Di",Spieltage!$B$29,IF(B36="Mi",Spieltage!$B$30,IF(B36="Do",Spieltage!$B$31,IF(B36="Fr",Spieltage!$B$32,"")))))</f>
        <v>41565</v>
      </c>
      <c r="B36" t="str">
        <f>VLOOKUP(3,Bezirkslsw,3,FALSE)</f>
        <v>Fr</v>
      </c>
      <c r="C36" s="19">
        <f>VLOOKUP(3,Bezirkslsw,4,FALSE)</f>
        <v>0.8125</v>
      </c>
      <c r="D36" t="str">
        <f>VLOOKUP(3,Bezirkslsw,2,FALSE)</f>
        <v>DJK Dudweiler 2</v>
      </c>
      <c r="E36" s="18" t="s">
        <v>35</v>
      </c>
      <c r="F36" t="str">
        <f>VLOOKUP(1,Bezirkslsw,2,FALSE)</f>
        <v>TTC Schwarzenholz</v>
      </c>
      <c r="G36" s="17">
        <f>IF(H36="Mo",Spieltage!$F$28,IF(H36="Di",Spieltage!$F$29,IF(H36="Mi",Spieltage!$F$30,IF(H36="Do",Spieltage!$F$31,IF(H36="Fr",Spieltage!$F$32,"")))))</f>
        <v>41683</v>
      </c>
      <c r="H36" t="str">
        <f>VLOOKUP(1,Bezirkslsw,3,FALSE)</f>
        <v>Do</v>
      </c>
      <c r="I36" s="19">
        <f>VLOOKUP(1,Bezirkslsw,4,FALSE)</f>
        <v>0.8333333333333334</v>
      </c>
    </row>
    <row r="37" spans="1:9" ht="12.75">
      <c r="A37" s="17">
        <f>IF(B37="Mo",Spieltage!$B$28,IF(B37="Di",Spieltage!$B$29,IF(B37="Mi",Spieltage!$B$30,IF(B37="Do",Spieltage!$B$31,IF(B37="Fr",Spieltage!$B$32,"")))))</f>
        <v>41564</v>
      </c>
      <c r="B37" t="str">
        <f>VLOOKUP(4,Bezirkslsw,3,FALSE)</f>
        <v>Do</v>
      </c>
      <c r="C37" s="19">
        <f>VLOOKUP(4,Bezirkslsw,4,FALSE)</f>
        <v>0.7916666666666666</v>
      </c>
      <c r="D37" t="str">
        <f>VLOOKUP(4,Bezirkslsw,2,FALSE)</f>
        <v>TTG Dillingen 2</v>
      </c>
      <c r="E37" s="18" t="s">
        <v>35</v>
      </c>
      <c r="F37" t="str">
        <f>VLOOKUP(2,Bezirkslsw,2,FALSE)</f>
        <v>DJK Saarbrücken-Rastpfuhl   </v>
      </c>
      <c r="G37" s="17">
        <f>IF(H37="Mo",Spieltage!$F$28,IF(H37="Di",Spieltage!$F$29,IF(H37="Mi",Spieltage!$F$30,IF(H37="Do",Spieltage!$F$31,IF(H37="Fr",Spieltage!$F$32,"")))))</f>
        <v>41682</v>
      </c>
      <c r="H37" t="str">
        <f>VLOOKUP(2,Bezirkslsw,3,FALSE)</f>
        <v>Mi</v>
      </c>
      <c r="I37" s="19">
        <f>VLOOKUP(2,Bezirkslsw,4,FALSE)</f>
        <v>0.7916666666666666</v>
      </c>
    </row>
    <row r="38" spans="1:9" ht="12.75">
      <c r="A38" s="17">
        <f>IF(B38="Mo",Spieltage!$B$28,IF(B38="Di",Spieltage!$B$29,IF(B38="Mi",Spieltage!$B$30,IF(B38="Do",Spieltage!$B$31,IF(B38="Fr",Spieltage!$B$32,"")))))</f>
        <v>41561</v>
      </c>
      <c r="B38" t="str">
        <f>VLOOKUP(5,Bezirkslsw,3,FALSE)</f>
        <v>Mo</v>
      </c>
      <c r="C38" s="19">
        <f>VLOOKUP(5,Bezirkslsw,4,FALSE)</f>
        <v>0.7916666666666666</v>
      </c>
      <c r="D38" t="str">
        <f>VLOOKUP(5,Bezirkslsw,2,FALSE)</f>
        <v>TTC Wehrden </v>
      </c>
      <c r="E38" s="18" t="s">
        <v>35</v>
      </c>
      <c r="F38" t="str">
        <f>VLOOKUP(7,Bezirkslsw,2,FALSE)</f>
        <v>TTSV Fraulautern</v>
      </c>
      <c r="G38" s="17">
        <f>IF(H38="Mo",Spieltage!$F$28,IF(H38="Di",Spieltage!$F$29,IF(H38="Mi",Spieltage!$F$30,IF(H38="Do",Spieltage!$F$31,IF(H38="Fr",Spieltage!$F$32,"")))))</f>
        <v>41680</v>
      </c>
      <c r="H38" t="str">
        <f>VLOOKUP(7,Bezirkslsw,3,FALSE)</f>
        <v>Mo</v>
      </c>
      <c r="I38" s="19">
        <f>VLOOKUP(7,Bezirkslsw,4,FALSE)</f>
        <v>0.7916666666666666</v>
      </c>
    </row>
    <row r="39" spans="1:9" ht="12.75">
      <c r="A39" s="17">
        <f>IF(B39="Mo",Spieltage!$B$28,IF(B39="Di",Spieltage!$B$29,IF(B39="Mi",Spieltage!$B$30,IF(B39="Do",Spieltage!$B$31,IF(B39="Fr",Spieltage!$B$32,"")))))</f>
        <v>41565</v>
      </c>
      <c r="B39" t="str">
        <f>VLOOKUP(6,Bezirkslsw,3,FALSE)</f>
        <v>Fr</v>
      </c>
      <c r="C39" s="19">
        <f>VLOOKUP(6,Bezirkslsw,4,FALSE)</f>
        <v>0.7916666666666666</v>
      </c>
      <c r="D39" t="str">
        <f>VLOOKUP(6,Bezirkslsw,2,FALSE)</f>
        <v>DJK Heusweiler 2</v>
      </c>
      <c r="E39" s="18" t="s">
        <v>35</v>
      </c>
      <c r="F39" t="str">
        <f>VLOOKUP(8,Bezirkslsw,2,FALSE)</f>
        <v>TTC Köllerbach 2</v>
      </c>
      <c r="G39" s="17">
        <f>IF(H39="Mo",Spieltage!$F$28,IF(H39="Di",Spieltage!$F$29,IF(H39="Mi",Spieltage!$F$30,IF(H39="Do",Spieltage!$F$31,IF(H39="Fr",Spieltage!$F$32,"")))))</f>
        <v>41681</v>
      </c>
      <c r="H39" t="str">
        <f>VLOOKUP(8,Bezirkslsw,3,FALSE)</f>
        <v>Di</v>
      </c>
      <c r="I39" s="19">
        <f>VLOOKUP(8,Bezirkslsw,4,FALSE)</f>
        <v>0.8125</v>
      </c>
    </row>
    <row r="40" spans="1:9" ht="12.75">
      <c r="A40" s="17">
        <f>IF(B40="Mo",Spieltage!$B$28,IF(B40="Di",Spieltage!$B$29,IF(B40="Mi",Spieltage!$B$30,IF(B40="Do",Spieltage!$B$31,IF(B40="Fr",Spieltage!$B$32,"")))))</f>
      </c>
      <c r="B40" t="str">
        <f>VLOOKUP(10,Bezirkslsw,3,FALSE)</f>
        <v> </v>
      </c>
      <c r="C40" s="19" t="str">
        <f>VLOOKUP(10,Bezirkslsw,4,FALSE)</f>
        <v> </v>
      </c>
      <c r="D40" t="str">
        <f>VLOOKUP(10,Bezirkslsw,2,FALSE)</f>
        <v>spielfrei</v>
      </c>
      <c r="E40" s="18" t="s">
        <v>35</v>
      </c>
      <c r="F40" t="e">
        <f>VLOOKUP(11,Bezirkslsw,2,FALSE)</f>
        <v>#N/A</v>
      </c>
      <c r="G40" s="17" t="e">
        <f>IF(H40="Mo",Spieltage!$F$28,IF(H40="Di",Spieltage!$F$29,IF(H40="Mi",Spieltage!$F$30,IF(H40="Do",Spieltage!$F$31,IF(H40="Fr",Spieltage!$F$32,"")))))</f>
        <v>#N/A</v>
      </c>
      <c r="H40" t="e">
        <f>VLOOKUP(11,Bezirkslsw,3,FALSE)</f>
        <v>#N/A</v>
      </c>
      <c r="I40" s="19" t="e">
        <f>VLOOKUP(11,Bezirkslsw,4,FALSE)</f>
        <v>#N/A</v>
      </c>
    </row>
    <row r="41" spans="1:9" ht="12.75">
      <c r="A41" s="17" t="e">
        <f>IF(B41="Mo",Spieltage!$B$28,IF(B41="Di",Spieltage!$B$29,IF(B41="Mi",Spieltage!$B35,IF(B41="Do",Spieltage!$B$31,IF(B41="Fr",Spieltage!$B$32,"")))))</f>
        <v>#N/A</v>
      </c>
      <c r="B41" t="e">
        <f>VLOOKUP(12,Bezirkslsw,3,FALSE)</f>
        <v>#N/A</v>
      </c>
      <c r="C41" s="19" t="e">
        <f>VLOOKUP(12,Bezirkslsw,4,FALSE)</f>
        <v>#N/A</v>
      </c>
      <c r="D41" t="e">
        <f>VLOOKUP(12,Bezirkslsw,2,FALSE)</f>
        <v>#N/A</v>
      </c>
      <c r="E41" s="18" t="s">
        <v>35</v>
      </c>
      <c r="F41" t="str">
        <f>VLOOKUP(9,Bezirkslsw,2,FALSE)</f>
        <v>TTC Lockweiler-Krettnich</v>
      </c>
      <c r="G41" s="17">
        <f>IF(H41="Mo",Spieltage!$F$28,IF(H41="Di",Spieltage!$F$29,IF(H41="Mi",Spieltage!$F$30,IF(H41="Do",Spieltage!$F$31,IF(H41="Fr",Spieltage!$F$32,"")))))</f>
        <v>41680</v>
      </c>
      <c r="H41" t="str">
        <f>VLOOKUP(9,Bezirkslsw,3,FALSE)</f>
        <v>Mo</v>
      </c>
      <c r="I41" s="19">
        <f>VLOOKUP(9,Bezirkslsw,4,FALSE)</f>
        <v>0.8333333333333334</v>
      </c>
    </row>
    <row r="42" ht="12.75">
      <c r="C42" s="19"/>
    </row>
    <row r="43" spans="1:9" ht="12.75">
      <c r="A43" s="17">
        <f>IF(B43="Mo",Spieltage!$B$33,IF(B43="Di",Spieltage!$B$34,IF(B43="Mi",Spieltage!$B$35,IF(B43="Do",Spieltage!$B$36,IF(B43="Fr",Spieltage!$B$37,"")))))</f>
        <v>41585</v>
      </c>
      <c r="B43" t="str">
        <f>VLOOKUP(1,Bezirkslsw,3,FALSE)</f>
        <v>Do</v>
      </c>
      <c r="C43" s="19">
        <f>VLOOKUP(1,Bezirkslsw,4,FALSE)</f>
        <v>0.8333333333333334</v>
      </c>
      <c r="D43" t="str">
        <f>VLOOKUP(1,Bezirkslsw,2,FALSE)</f>
        <v>TTC Schwarzenholz</v>
      </c>
      <c r="E43" s="18" t="s">
        <v>35</v>
      </c>
      <c r="F43" t="str">
        <f>VLOOKUP(5,Bezirkslsw,2,FALSE)</f>
        <v>TTC Wehrden </v>
      </c>
      <c r="G43" s="17">
        <f>IF(H43="Mo",Spieltage!$F$33,IF(H43="Di",Spieltage!$F$34,IF(H43="Mi",Spieltage!$F$35,IF(H43="Do",Spieltage!$F$36,IF(H43="Fr",Spieltage!$F$37,"")))))</f>
        <v>41687</v>
      </c>
      <c r="H43" t="str">
        <f>VLOOKUP(5,Bezirkslsw,3,FALSE)</f>
        <v>Mo</v>
      </c>
      <c r="I43" s="19">
        <f>VLOOKUP(5,Bezirkslsw,4,FALSE)</f>
        <v>0.7916666666666666</v>
      </c>
    </row>
    <row r="44" spans="1:9" ht="12.75">
      <c r="A44" s="17">
        <f>IF(B44="Mo",Spieltage!$B$33,IF(B44="Di",Spieltage!$B$34,IF(B44="Mi",Spieltage!$B$35,IF(B44="Do",Spieltage!$B$36,IF(B44="Fr",Spieltage!$B$37,"")))))</f>
        <v>41584</v>
      </c>
      <c r="B44" t="str">
        <f>VLOOKUP(2,Bezirkslsw,3,FALSE)</f>
        <v>Mi</v>
      </c>
      <c r="C44" s="19">
        <f>VLOOKUP(2,Bezirkslsw,4,FALSE)</f>
        <v>0.7916666666666666</v>
      </c>
      <c r="D44" t="str">
        <f>VLOOKUP(2,Bezirkslsw,2,FALSE)</f>
        <v>DJK Saarbrücken-Rastpfuhl   </v>
      </c>
      <c r="E44" s="18" t="s">
        <v>35</v>
      </c>
      <c r="F44" t="str">
        <f>VLOOKUP(10,Bezirkslsw,2,FALSE)</f>
        <v>spielfrei</v>
      </c>
      <c r="G44" s="17">
        <f>IF(H44="Mo",Spieltage!$F$33,IF(H44="Di",Spieltage!$F$34,IF(H44="Mi",Spieltage!$F$35,IF(H44="Do",Spieltage!$F$36,IF(H44="Fr",Spieltage!$F$37,"")))))</f>
      </c>
      <c r="H44" t="str">
        <f>VLOOKUP(10,Bezirkslsw,3,FALSE)</f>
        <v> </v>
      </c>
      <c r="I44" s="19" t="str">
        <f>VLOOKUP(10,Bezirkslsw,4,FALSE)</f>
        <v> </v>
      </c>
    </row>
    <row r="45" spans="1:9" ht="12.75">
      <c r="A45" s="17">
        <f>IF(B45="Mo",Spieltage!$B$33,IF(B45="Di",Spieltage!$B$34,IF(B45="Mi",Spieltage!$B$35,IF(B45="Do",Spieltage!$B$36,IF(B45="Fr",Spieltage!$B$37,"")))))</f>
        <v>41586</v>
      </c>
      <c r="B45" t="str">
        <f>VLOOKUP(3,Bezirkslsw,3,FALSE)</f>
        <v>Fr</v>
      </c>
      <c r="C45" s="19">
        <f>VLOOKUP(3,Bezirkslsw,4,FALSE)</f>
        <v>0.8125</v>
      </c>
      <c r="D45" t="str">
        <f>VLOOKUP(3,Bezirkslsw,2,FALSE)</f>
        <v>DJK Dudweiler 2</v>
      </c>
      <c r="E45" s="18" t="s">
        <v>35</v>
      </c>
      <c r="F45" t="str">
        <f>VLOOKUP(4,Bezirkslsw,2,FALSE)</f>
        <v>TTG Dillingen 2</v>
      </c>
      <c r="G45" s="17">
        <f>IF(H45="Mo",Spieltage!$F$33,IF(H45="Di",Spieltage!$F$34,IF(H45="Mi",Spieltage!$F$35,IF(H45="Do",Spieltage!$F$36,IF(H45="Fr",Spieltage!$F$37,"")))))</f>
        <v>41690</v>
      </c>
      <c r="H45" t="str">
        <f>VLOOKUP(4,Bezirkslsw,3,FALSE)</f>
        <v>Do</v>
      </c>
      <c r="I45" s="19">
        <f>VLOOKUP(4,Bezirkslsw,4,FALSE)</f>
        <v>0.7916666666666666</v>
      </c>
    </row>
    <row r="46" spans="1:9" ht="12.75">
      <c r="A46" s="17">
        <f>IF(B46="Mo",Spieltage!$B$33,IF(B46="Di",Spieltage!$B$34,IF(B46="Mi",Spieltage!$B$35,IF(B46="Do",Spieltage!$B$36,IF(B46="Fr",Spieltage!$B$37,"")))))</f>
        <v>41583</v>
      </c>
      <c r="B46" t="str">
        <f>VLOOKUP(8,Bezirkslsw,3,FALSE)</f>
        <v>Di</v>
      </c>
      <c r="C46" s="19">
        <f>VLOOKUP(8,Bezirkslsw,4,FALSE)</f>
        <v>0.8125</v>
      </c>
      <c r="D46" t="str">
        <f>VLOOKUP(8,Bezirkslsw,2,FALSE)</f>
        <v>TTC Köllerbach 2</v>
      </c>
      <c r="E46" s="18" t="s">
        <v>35</v>
      </c>
      <c r="F46" t="str">
        <f>VLOOKUP(7,Bezirkslsw,2,FALSE)</f>
        <v>TTSV Fraulautern</v>
      </c>
      <c r="G46" s="17">
        <f>IF(H46="Mo",Spieltage!$F$33,IF(H46="Di",Spieltage!$F$34,IF(H46="Mi",Spieltage!$F$35,IF(H46="Do",Spieltage!$F$36,IF(H46="Fr",Spieltage!$F$37,"")))))</f>
        <v>41687</v>
      </c>
      <c r="H46" t="str">
        <f>VLOOKUP(7,Bezirkslsw,3,FALSE)</f>
        <v>Mo</v>
      </c>
      <c r="I46" s="19">
        <f>VLOOKUP(7,Bezirkslsw,4,FALSE)</f>
        <v>0.7916666666666666</v>
      </c>
    </row>
    <row r="47" spans="1:9" ht="12.75">
      <c r="A47" s="17">
        <f>IF(B47="Mo",Spieltage!$B$33,IF(B47="Di",Spieltage!$B$34,IF(B47="Mi",Spieltage!$B$35,IF(B47="Do",Spieltage!$B$36,IF(B47="Fr",Spieltage!$B$37,"")))))</f>
        <v>41582</v>
      </c>
      <c r="B47" t="str">
        <f>VLOOKUP(9,Bezirkslsw,3,FALSE)</f>
        <v>Mo</v>
      </c>
      <c r="C47" s="19">
        <f>VLOOKUP(9,Bezirkslsw,4,FALSE)</f>
        <v>0.8333333333333334</v>
      </c>
      <c r="D47" t="str">
        <f>VLOOKUP(9,Bezirkslsw,2,FALSE)</f>
        <v>TTC Lockweiler-Krettnich</v>
      </c>
      <c r="E47" s="18" t="s">
        <v>35</v>
      </c>
      <c r="F47" t="str">
        <f>VLOOKUP(6,Bezirkslsw,2,FALSE)</f>
        <v>DJK Heusweiler 2</v>
      </c>
      <c r="G47" s="17">
        <f>IF(H47="Mo",Spieltage!$F$33,IF(H47="Di",Spieltage!$F$34,IF(H47="Mi",Spieltage!$F$35,IF(H47="Do",Spieltage!$F$36,IF(H47="Fr",Spieltage!$F$37,"")))))</f>
        <v>41691</v>
      </c>
      <c r="H47" t="str">
        <f>VLOOKUP(6,Bezirkslsw,3,FALSE)</f>
        <v>Fr</v>
      </c>
      <c r="I47" s="19">
        <f>VLOOKUP(6,Bezirkslsw,4,FALSE)</f>
        <v>0.7916666666666666</v>
      </c>
    </row>
    <row r="48" spans="1:9" ht="12.75">
      <c r="A48" s="17" t="e">
        <f>IF(B48="Mo",Spieltage!$B$33,IF(B48="Di",Spieltage!$B$34,IF(B48="Mi",Spieltage!$B$35,IF(B48="Do",Spieltage!$B$36,IF(B48="Fr",Spieltage!$B$37,"")))))</f>
        <v>#N/A</v>
      </c>
      <c r="B48" t="e">
        <f>VLOOKUP(11,Bezirkslsw,3,FALSE)</f>
        <v>#N/A</v>
      </c>
      <c r="C48" s="19" t="e">
        <f>VLOOKUP(11,Bezirkslsw,4,FALSE)</f>
        <v>#N/A</v>
      </c>
      <c r="D48" t="e">
        <f>VLOOKUP(11,Bezirkslsw,2,FALSE)</f>
        <v>#N/A</v>
      </c>
      <c r="E48" s="18" t="s">
        <v>35</v>
      </c>
      <c r="F48" t="e">
        <f>VLOOKUP(12,Bezirkslsw,2,FALSE)</f>
        <v>#N/A</v>
      </c>
      <c r="G48" s="17" t="e">
        <f>IF(H48="Mo",Spieltage!$F$33,IF(H48="Di",Spieltage!$F$34,IF(H48="Mi",Spieltage!$F$35,IF(H48="Do",Spieltage!$F$36,IF(H48="Fr",Spieltage!$F$37,"")))))</f>
        <v>#N/A</v>
      </c>
      <c r="H48" t="e">
        <f>VLOOKUP(12,Bezirkslsw,3,FALSE)</f>
        <v>#N/A</v>
      </c>
      <c r="I48" s="19" t="e">
        <f>VLOOKUP(12,Bezirkslsw,4,FALSE)</f>
        <v>#N/A</v>
      </c>
    </row>
    <row r="50" spans="1:9" ht="12.75">
      <c r="A50" s="17">
        <f>IF(B50="Mo",Spieltage!$B$38,IF(B50="Di",Spieltage!$B$39,IF(B50="Mi",Spieltage!$B$40,IF(B50="Do",Spieltage!$B$41,IF(B50="Fr",Spieltage!$B$42,"")))))</f>
        <v>41592</v>
      </c>
      <c r="B50" t="str">
        <f>VLOOKUP(4,Bezirkslsw,3,FALSE)</f>
        <v>Do</v>
      </c>
      <c r="C50" s="19">
        <f>VLOOKUP(4,Bezirkslsw,4,FALSE)</f>
        <v>0.7916666666666666</v>
      </c>
      <c r="D50" t="str">
        <f>VLOOKUP(4,Bezirkslsw,2,FALSE)</f>
        <v>TTG Dillingen 2</v>
      </c>
      <c r="E50" s="18" t="s">
        <v>35</v>
      </c>
      <c r="F50" t="e">
        <f>VLOOKUP(11,Bezirkslsw,2,FALSE)</f>
        <v>#N/A</v>
      </c>
      <c r="G50" s="17" t="e">
        <f>IF(H50="Mo",Spieltage!$F$38,IF(H50="Di",Spieltage!$F$39,IF(H50="Mi",Spieltage!$F$40,IF(H50="Do",Spieltage!$F$41,IF(H50="Fr",Spieltage!$F$42,"")))))</f>
        <v>#N/A</v>
      </c>
      <c r="H50" t="e">
        <f>VLOOKUP(11,Bezirkslsw,3,FALSE)</f>
        <v>#N/A</v>
      </c>
      <c r="I50" s="19" t="e">
        <f>VLOOKUP(11,Bezirkslsw,4,FALSE)</f>
        <v>#N/A</v>
      </c>
    </row>
    <row r="51" spans="1:9" ht="12.75">
      <c r="A51" s="17">
        <f>IF(B51="Mo",Spieltage!$B$38,IF(B51="Di",Spieltage!$B$39,IF(B51="Mi",Spieltage!$B$40,IF(B51="Do",Spieltage!$B$41,IF(B51="Fr",Spieltage!$B$42,"")))))</f>
        <v>41589</v>
      </c>
      <c r="B51" t="str">
        <f>VLOOKUP(5,Bezirkslsw,3,FALSE)</f>
        <v>Mo</v>
      </c>
      <c r="C51" s="19">
        <f>VLOOKUP(5,Bezirkslsw,4,FALSE)</f>
        <v>0.7916666666666666</v>
      </c>
      <c r="D51" t="str">
        <f>VLOOKUP(5,Bezirkslsw,2,FALSE)</f>
        <v>TTC Wehrden </v>
      </c>
      <c r="E51" s="18" t="s">
        <v>35</v>
      </c>
      <c r="F51" t="str">
        <f>VLOOKUP(2,Bezirkslsw,2,FALSE)</f>
        <v>DJK Saarbrücken-Rastpfuhl   </v>
      </c>
      <c r="G51" s="17">
        <f>IF(H51="Mo",Spieltage!$F$38,IF(H51="Di",Spieltage!$F$39,IF(H51="Mi",Spieltage!$F$40,IF(H51="Do",Spieltage!$F$41,IF(H51="Fr",Spieltage!$F$42,"")))))</f>
        <v>41710</v>
      </c>
      <c r="H51" t="str">
        <f>VLOOKUP(2,Bezirkslsw,3,FALSE)</f>
        <v>Mi</v>
      </c>
      <c r="I51" s="19">
        <f>VLOOKUP(2,Bezirkslsw,4,FALSE)</f>
        <v>0.7916666666666666</v>
      </c>
    </row>
    <row r="52" spans="1:9" ht="12.75">
      <c r="A52" s="17">
        <f>IF(B52="Mo",Spieltage!$B$38,IF(B52="Di",Spieltage!$B$39,IF(B52="Mi",Spieltage!$B$40,IF(B52="Do",Spieltage!$B$41,IF(B52="Fr",Spieltage!$B$42,"")))))</f>
        <v>41593</v>
      </c>
      <c r="B52" t="str">
        <f>VLOOKUP(6,Bezirkslsw,3,FALSE)</f>
        <v>Fr</v>
      </c>
      <c r="C52" s="19">
        <f>VLOOKUP(6,Bezirkslsw,4,FALSE)</f>
        <v>0.7916666666666666</v>
      </c>
      <c r="D52" t="str">
        <f>VLOOKUP(6,Bezirkslsw,2,FALSE)</f>
        <v>DJK Heusweiler 2</v>
      </c>
      <c r="E52" s="18" t="s">
        <v>35</v>
      </c>
      <c r="F52" t="str">
        <f>VLOOKUP(1,Bezirkslsw,2,FALSE)</f>
        <v>TTC Schwarzenholz</v>
      </c>
      <c r="G52" s="17">
        <f>IF(H52="Mo",Spieltage!$F$38,IF(H52="Di",Spieltage!$F$39,IF(H52="Mi",Spieltage!$F$40,IF(H52="Do",Spieltage!$F$41,IF(H52="Fr",Spieltage!$F$42,"")))))</f>
        <v>41711</v>
      </c>
      <c r="H52" t="str">
        <f>VLOOKUP(1,Bezirkslsw,3,FALSE)</f>
        <v>Do</v>
      </c>
      <c r="I52" s="19">
        <f>VLOOKUP(1,Bezirkslsw,4,FALSE)</f>
        <v>0.8333333333333334</v>
      </c>
    </row>
    <row r="53" spans="1:9" ht="12.75">
      <c r="A53" s="17">
        <f>IF(B53="Mo",Spieltage!$B$38,IF(B53="Di",Spieltage!$B$39,IF(B53="Mi",Spieltage!$B$40,IF(B53="Do",Spieltage!$B$41,IF(B53="Fr",Spieltage!$B$42,"")))))</f>
        <v>41589</v>
      </c>
      <c r="B53" t="str">
        <f>VLOOKUP(7,Bezirkslsw,3,FALSE)</f>
        <v>Mo</v>
      </c>
      <c r="C53" s="19">
        <f>VLOOKUP(7,Bezirkslsw,4,FALSE)</f>
        <v>0.7916666666666666</v>
      </c>
      <c r="D53" t="str">
        <f>VLOOKUP(7,Bezirkslsw,2,FALSE)</f>
        <v>TTSV Fraulautern</v>
      </c>
      <c r="E53" s="18" t="s">
        <v>35</v>
      </c>
      <c r="F53" t="str">
        <f>VLOOKUP(9,Bezirkslsw,2,FALSE)</f>
        <v>TTC Lockweiler-Krettnich</v>
      </c>
      <c r="G53" s="17">
        <f>IF(H53="Mo",Spieltage!$F$38,IF(H53="Di",Spieltage!$F$39,IF(H53="Mi",Spieltage!$F$40,IF(H53="Do",Spieltage!$F$41,IF(H53="Fr",Spieltage!$F$42,"")))))</f>
        <v>41708</v>
      </c>
      <c r="H53" t="str">
        <f>VLOOKUP(9,Bezirkslsw,3,FALSE)</f>
        <v>Mo</v>
      </c>
      <c r="I53" s="19">
        <f>VLOOKUP(9,Bezirkslsw,4,FALSE)</f>
        <v>0.8333333333333334</v>
      </c>
    </row>
    <row r="54" spans="1:9" ht="12.75">
      <c r="A54" s="17">
        <f>IF(B54="Mo",Spieltage!$B$38,IF(B54="Di",Spieltage!$B$39,IF(B54="Mi",Spieltage!$B$40,IF(B54="Do",Spieltage!$B$41,IF(B54="Fr",Spieltage!$B$42,"")))))</f>
      </c>
      <c r="B54" t="str">
        <f>VLOOKUP(10,Bezirkslsw,3,FALSE)</f>
        <v> </v>
      </c>
      <c r="C54" s="19" t="str">
        <f>VLOOKUP(10,Bezirkslsw,4,FALSE)</f>
        <v> </v>
      </c>
      <c r="D54" t="str">
        <f>VLOOKUP(10,Bezirkslsw,2,FALSE)</f>
        <v>spielfrei</v>
      </c>
      <c r="E54" s="18" t="s">
        <v>35</v>
      </c>
      <c r="F54" t="str">
        <f>VLOOKUP(3,Bezirkslsw,2,FALSE)</f>
        <v>DJK Dudweiler 2</v>
      </c>
      <c r="G54" s="17">
        <f>IF(H54="Mo",Spieltage!$F$38,IF(H54="Di",Spieltage!$F$39,IF(H54="Mi",Spieltage!$F$40,IF(H54="Do",Spieltage!$F$41,IF(H54="Fr",Spieltage!$F$42,"")))))</f>
        <v>41712</v>
      </c>
      <c r="H54" t="str">
        <f>VLOOKUP(3,Bezirkslsw,3,FALSE)</f>
        <v>Fr</v>
      </c>
      <c r="I54" s="19">
        <f>VLOOKUP(3,Bezirkslsw,4,FALSE)</f>
        <v>0.8125</v>
      </c>
    </row>
    <row r="55" spans="1:9" ht="12.75">
      <c r="A55" s="17" t="e">
        <f>IF(B55="Mo",Spieltage!$B$38,IF(B55="Di",Spieltage!$B$39,IF(B55="Mi",Spieltage!$B$40,IF(B55="Do",Spieltage!$B$41,IF(B55="Fr",Spieltage!$B$42,"")))))</f>
        <v>#N/A</v>
      </c>
      <c r="B55" t="e">
        <f>VLOOKUP(12,Bezirkslsw,3,FALSE)</f>
        <v>#N/A</v>
      </c>
      <c r="C55" s="19" t="e">
        <f>VLOOKUP(12,Bezirkslsw,4,FALSE)</f>
        <v>#N/A</v>
      </c>
      <c r="D55" t="e">
        <f>VLOOKUP(12,Bezirkslsw,2,FALSE)</f>
        <v>#N/A</v>
      </c>
      <c r="E55" s="18" t="s">
        <v>35</v>
      </c>
      <c r="F55" t="str">
        <f>VLOOKUP(8,Bezirkslsw,2,FALSE)</f>
        <v>TTC Köllerbach 2</v>
      </c>
      <c r="G55" s="17">
        <f>IF(H55="Mo",Spieltage!$F$38,IF(H55="Di",Spieltage!$F$39,IF(H55="Mi",Spieltage!$F$40,IF(H55="Do",Spieltage!$F$41,IF(H55="Fr",Spieltage!$F$42,"")))))</f>
        <v>41709</v>
      </c>
      <c r="H55" t="str">
        <f>VLOOKUP(8,Bezirkslsw,3,FALSE)</f>
        <v>Di</v>
      </c>
      <c r="I55" s="19">
        <f>VLOOKUP(8,Bezirkslsw,4,FALSE)</f>
        <v>0.8125</v>
      </c>
    </row>
    <row r="57" spans="1:9" ht="12.75">
      <c r="A57" s="17">
        <f>IF(B57="Mo",Spieltage!$B$43,IF(B57="Di",Spieltage!$B$44,IF(B57="Mi",Spieltage!$B$45,IF(B57="Do",Spieltage!$B$46,IF(B57="Fr",Spieltage!$B$47,"")))))</f>
        <v>40875</v>
      </c>
      <c r="B57" t="str">
        <f>VLOOKUP(1,Bezirkslsw,3,FALSE)</f>
        <v>Do</v>
      </c>
      <c r="C57" s="19">
        <f>VLOOKUP(1,Bezirkslsw,4,FALSE)</f>
        <v>0.8333333333333334</v>
      </c>
      <c r="D57" t="str">
        <f>VLOOKUP(1,Bezirkslsw,2,FALSE)</f>
        <v>TTC Schwarzenholz</v>
      </c>
      <c r="E57" s="18" t="s">
        <v>35</v>
      </c>
      <c r="F57" t="str">
        <f>VLOOKUP(7,Bezirkslsw,2,FALSE)</f>
        <v>TTSV Fraulautern</v>
      </c>
      <c r="G57" s="17">
        <f>IF(H57="Mo",Spieltage!$F$43,IF(H57="Di",Spieltage!$F$44,IF(H57="Mi",Spieltage!$F$45,IF(H57="Do",Spieltage!$F$46,IF(H57="Fr",Spieltage!$F$47,"")))))</f>
        <v>41722</v>
      </c>
      <c r="H57" t="str">
        <f>VLOOKUP(7,Bezirkslsw,3,FALSE)</f>
        <v>Mo</v>
      </c>
      <c r="I57" s="19">
        <f>VLOOKUP(7,Bezirkslsw,4,FALSE)</f>
        <v>0.7916666666666666</v>
      </c>
    </row>
    <row r="58" spans="1:9" ht="12.75">
      <c r="A58" s="17">
        <f>IF(B58="Mo",Spieltage!$B$43,IF(B58="Di",Spieltage!$B$44,IF(B58="Mi",Spieltage!$B$45,IF(B58="Do",Spieltage!$B$46,IF(B58="Fr",Spieltage!$B$47,"")))))</f>
        <v>40874</v>
      </c>
      <c r="B58" t="str">
        <f>VLOOKUP(2,Bezirkslsw,3,FALSE)</f>
        <v>Mi</v>
      </c>
      <c r="C58" s="19">
        <f>VLOOKUP(2,Bezirkslsw,4,FALSE)</f>
        <v>0.7916666666666666</v>
      </c>
      <c r="D58" t="str">
        <f>VLOOKUP(2,Bezirkslsw,2,FALSE)</f>
        <v>DJK Saarbrücken-Rastpfuhl   </v>
      </c>
      <c r="E58" s="18" t="s">
        <v>35</v>
      </c>
      <c r="F58" t="e">
        <f>VLOOKUP(12,Bezirkslsw,2,FALSE)</f>
        <v>#N/A</v>
      </c>
      <c r="G58" s="17" t="e">
        <f>IF(H58="Mo",Spieltage!$F$43,IF(H58="Di",Spieltage!$F$44,IF(H58="Mi",Spieltage!$F$45,IF(H58="Do",Spieltage!$F$46,IF(H58="Fr",Spieltage!$F$47,"")))))</f>
        <v>#N/A</v>
      </c>
      <c r="H58" t="e">
        <f>VLOOKUP(12,Bezirkslsw,3,FALSE)</f>
        <v>#N/A</v>
      </c>
      <c r="I58" s="19" t="e">
        <f>VLOOKUP(12,Bezirkslsw,4,FALSE)</f>
        <v>#N/A</v>
      </c>
    </row>
    <row r="59" spans="1:9" ht="12.75">
      <c r="A59" s="17">
        <f>IF(B59="Mo",Spieltage!$B$43,IF(B59="Di",Spieltage!$B$44,IF(B59="Mi",Spieltage!$B$45,IF(B59="Do",Spieltage!$B$46,IF(B59="Fr",Spieltage!$B$47,"")))))</f>
        <v>40876</v>
      </c>
      <c r="B59" t="str">
        <f>VLOOKUP(3,Bezirkslsw,3,FALSE)</f>
        <v>Fr</v>
      </c>
      <c r="C59" s="19">
        <f>VLOOKUP(3,Bezirkslsw,4,FALSE)</f>
        <v>0.8125</v>
      </c>
      <c r="D59" t="str">
        <f>VLOOKUP(3,Bezirkslsw,2,FALSE)</f>
        <v>DJK Dudweiler 2</v>
      </c>
      <c r="E59" s="18" t="s">
        <v>35</v>
      </c>
      <c r="F59" t="str">
        <f>VLOOKUP(5,Bezirkslsw,2,FALSE)</f>
        <v>TTC Wehrden </v>
      </c>
      <c r="G59" s="17">
        <f>IF(H59="Mo",Spieltage!$F$43,IF(H59="Di",Spieltage!$F$44,IF(H59="Mi",Spieltage!$F$45,IF(H59="Do",Spieltage!$F$46,IF(H59="Fr",Spieltage!$F$47,"")))))</f>
        <v>41722</v>
      </c>
      <c r="H59" t="str">
        <f>VLOOKUP(5,Bezirkslsw,3,FALSE)</f>
        <v>Mo</v>
      </c>
      <c r="I59" s="19">
        <f>VLOOKUP(5,Bezirkslsw,4,FALSE)</f>
        <v>0.7916666666666666</v>
      </c>
    </row>
    <row r="60" spans="1:9" ht="12.75">
      <c r="A60" s="17">
        <f>IF(B60="Mo",Spieltage!$B$43,IF(B60="Di",Spieltage!$B$44,IF(B60="Mi",Spieltage!$B$45,IF(B60="Do",Spieltage!$B$46,IF(B60="Fr",Spieltage!$B$47,"")))))</f>
        <v>40875</v>
      </c>
      <c r="B60" t="str">
        <f>VLOOKUP(4,Bezirkslsw,3,FALSE)</f>
        <v>Do</v>
      </c>
      <c r="C60" s="19">
        <f>VLOOKUP(4,Bezirkslsw,4,FALSE)</f>
        <v>0.7916666666666666</v>
      </c>
      <c r="D60" t="str">
        <f>VLOOKUP(4,Bezirkslsw,2,FALSE)</f>
        <v>TTG Dillingen 2</v>
      </c>
      <c r="E60" s="18" t="s">
        <v>35</v>
      </c>
      <c r="F60" t="str">
        <f>VLOOKUP(10,Bezirkslsw,2,FALSE)</f>
        <v>spielfrei</v>
      </c>
      <c r="G60" s="17">
        <f>IF(H60="Mo",Spieltage!$F$43,IF(H60="Di",Spieltage!$F$44,IF(H60="Mi",Spieltage!$F$45,IF(H60="Do",Spieltage!$F$46,IF(H60="Fr",Spieltage!$F$47,"")))))</f>
      </c>
      <c r="H60" t="str">
        <f>VLOOKUP(10,Bezirkslsw,3,FALSE)</f>
        <v> </v>
      </c>
      <c r="I60" s="19" t="str">
        <f>VLOOKUP(10,Bezirkslsw,4,FALSE)</f>
        <v> </v>
      </c>
    </row>
    <row r="61" spans="1:9" ht="12.75">
      <c r="A61" s="17">
        <f>IF(B61="Mo",Spieltage!$B$43,IF(B61="Di",Spieltage!$B$44,IF(B61="Mi",Spieltage!$B$45,IF(B61="Do",Spieltage!$B$46,IF(B61="Fr",Spieltage!$B$47,"")))))</f>
        <v>40872</v>
      </c>
      <c r="B61" t="str">
        <f>VLOOKUP(9,Bezirkslsw,3,FALSE)</f>
        <v>Mo</v>
      </c>
      <c r="C61" s="19">
        <f>VLOOKUP(9,Bezirkslsw,4,FALSE)</f>
        <v>0.8333333333333334</v>
      </c>
      <c r="D61" t="str">
        <f>VLOOKUP(9,Bezirkslsw,2,FALSE)</f>
        <v>TTC Lockweiler-Krettnich</v>
      </c>
      <c r="E61" s="18" t="s">
        <v>35</v>
      </c>
      <c r="F61" t="str">
        <f>VLOOKUP(8,Bezirkslsw,2,FALSE)</f>
        <v>TTC Köllerbach 2</v>
      </c>
      <c r="G61" s="17">
        <f>IF(H61="Mo",Spieltage!$F$43,IF(H61="Di",Spieltage!$F$44,IF(H61="Mi",Spieltage!$F$45,IF(H61="Do",Spieltage!$F$46,IF(H61="Fr",Spieltage!$F$47,"")))))</f>
        <v>41723</v>
      </c>
      <c r="H61" t="str">
        <f>VLOOKUP(8,Bezirkslsw,3,FALSE)</f>
        <v>Di</v>
      </c>
      <c r="I61" s="19">
        <f>VLOOKUP(8,Bezirkslsw,4,FALSE)</f>
        <v>0.8125</v>
      </c>
    </row>
    <row r="62" spans="1:9" ht="12.75">
      <c r="A62" s="17" t="e">
        <f>IF(B62="Mo",Spieltage!$B$43,IF(B62="Di",Spieltage!$B$44,IF(B62="Mi",Spieltage!$B$45,IF(B62="Do",Spieltage!$B$46,IF(B62="Fr",Spieltage!$B$47,"")))))</f>
        <v>#N/A</v>
      </c>
      <c r="B62" t="e">
        <f>VLOOKUP(11,Bezirkslsw,3,FALSE)</f>
        <v>#N/A</v>
      </c>
      <c r="C62" s="19" t="e">
        <f>VLOOKUP(11,Bezirkslsw,4,FALSE)</f>
        <v>#N/A</v>
      </c>
      <c r="D62" t="e">
        <f>VLOOKUP(11,Bezirkslsw,2,FALSE)</f>
        <v>#N/A</v>
      </c>
      <c r="E62" s="18" t="s">
        <v>35</v>
      </c>
      <c r="F62" t="str">
        <f>VLOOKUP(6,Bezirkslsw,2,FALSE)</f>
        <v>DJK Heusweiler 2</v>
      </c>
      <c r="G62" s="17">
        <f>IF(H62="Mo",Spieltage!$F$43,IF(H62="Di",Spieltage!$F$44,IF(H62="Mi",Spieltage!$F$45,IF(H62="Do",Spieltage!$F$46,IF(H62="Fr",Spieltage!$F$47,"")))))</f>
        <v>41726</v>
      </c>
      <c r="H62" t="str">
        <f>VLOOKUP(6,Bezirkslsw,3,FALSE)</f>
        <v>Fr</v>
      </c>
      <c r="I62" s="19">
        <f>VLOOKUP(6,Bezirkslsw,4,FALSE)</f>
        <v>0.7916666666666666</v>
      </c>
    </row>
    <row r="64" spans="1:9" ht="12.75">
      <c r="A64" s="17">
        <f>IF(B64="Mo",Spieltage!$B$48,IF(B64="Di",Spieltage!$B$49,IF(B64="Mi",Spieltage!$B$50,IF(B64="Do",Spieltage!$B$51,IF(B64="Fr",Spieltage!$B$52,"")))))</f>
        <v>41610</v>
      </c>
      <c r="B64" t="str">
        <f>VLOOKUP(5,Bezirkslsw,3,FALSE)</f>
        <v>Mo</v>
      </c>
      <c r="C64" s="19">
        <f>VLOOKUP(5,Bezirkslsw,4,FALSE)</f>
        <v>0.7916666666666666</v>
      </c>
      <c r="D64" t="str">
        <f>VLOOKUP(5,Bezirkslsw,2,FALSE)</f>
        <v>TTC Wehrden </v>
      </c>
      <c r="E64" s="18" t="s">
        <v>35</v>
      </c>
      <c r="F64" t="str">
        <f>VLOOKUP(9,Bezirkslsw,2,FALSE)</f>
        <v>TTC Lockweiler-Krettnich</v>
      </c>
      <c r="G64" s="17">
        <f>IF(H64="Mo",Spieltage!$F$48,IF(H64="Di",Spieltage!$F$49,IF(H64="Mi",Spieltage!$F$50,IF(H64="Do",Spieltage!$F$51,IF(H64="Fr",Spieltage!$F$52,"")))))</f>
        <v>41729</v>
      </c>
      <c r="H64" t="str">
        <f>VLOOKUP(9,Bezirkslsw,3,FALSE)</f>
        <v>Mo</v>
      </c>
      <c r="I64" s="19">
        <f>VLOOKUP(9,Bezirkslsw,4,FALSE)</f>
        <v>0.8333333333333334</v>
      </c>
    </row>
    <row r="65" spans="1:9" ht="12.75">
      <c r="A65" s="17">
        <f>IF(B65="Mo",Spieltage!$B$48,IF(B65="Di",Spieltage!$B$49,IF(B65="Mi",Spieltage!$B$50,IF(B65="Do",Spieltage!$B$51,IF(B65="Fr",Spieltage!$B$52,"")))))</f>
        <v>41614</v>
      </c>
      <c r="B65" t="str">
        <f>VLOOKUP(6,Bezirkslsw,3,FALSE)</f>
        <v>Fr</v>
      </c>
      <c r="C65" s="19">
        <f>VLOOKUP(6,Bezirkslsw,4,FALSE)</f>
        <v>0.7916666666666666</v>
      </c>
      <c r="D65" t="str">
        <f>VLOOKUP(6,Bezirkslsw,2,FALSE)</f>
        <v>DJK Heusweiler 2</v>
      </c>
      <c r="E65" s="18" t="s">
        <v>35</v>
      </c>
      <c r="F65" t="str">
        <f>VLOOKUP(3,Bezirkslsw,2,FALSE)</f>
        <v>DJK Dudweiler 2</v>
      </c>
      <c r="G65" s="17">
        <f>IF(H65="Mo",Spieltage!$F$48,IF(H65="Di",Spieltage!$F$49,IF(H65="Mi",Spieltage!$F$50,IF(H65="Do",Spieltage!$F$51,IF(H65="Fr",Spieltage!$F$52,"")))))</f>
        <v>41733</v>
      </c>
      <c r="H65" t="str">
        <f>VLOOKUP(3,Bezirkslsw,3,FALSE)</f>
        <v>Fr</v>
      </c>
      <c r="I65" s="19">
        <f>VLOOKUP(3,Bezirkslsw,4,FALSE)</f>
        <v>0.8125</v>
      </c>
    </row>
    <row r="66" spans="1:9" ht="12.75">
      <c r="A66" s="17">
        <f>IF(B66="Mo",Spieltage!$B$48,IF(B66="Di",Spieltage!$B$49,IF(B66="Mi",Spieltage!$B$50,IF(B66="Do",Spieltage!$B$51,IF(B66="Fr",Spieltage!$B$52,"")))))</f>
        <v>41610</v>
      </c>
      <c r="B66" t="str">
        <f>VLOOKUP(7,Bezirkslsw,3,FALSE)</f>
        <v>Mo</v>
      </c>
      <c r="C66" s="19">
        <f>VLOOKUP(7,Bezirkslsw,4,FALSE)</f>
        <v>0.7916666666666666</v>
      </c>
      <c r="D66" t="str">
        <f>VLOOKUP(7,Bezirkslsw,2,FALSE)</f>
        <v>TTSV Fraulautern</v>
      </c>
      <c r="E66" s="18" t="s">
        <v>35</v>
      </c>
      <c r="F66" t="str">
        <f>VLOOKUP(2,Bezirkslsw,2,FALSE)</f>
        <v>DJK Saarbrücken-Rastpfuhl   </v>
      </c>
      <c r="G66" s="17">
        <f>IF(H66="Mo",Spieltage!$F$48,IF(H66="Di",Spieltage!$F$49,IF(H66="Mi",Spieltage!$F$50,IF(H66="Do",Spieltage!$F$51,IF(H66="Fr",Spieltage!$F$52,"")))))</f>
        <v>41731</v>
      </c>
      <c r="H66" t="str">
        <f>VLOOKUP(2,Bezirkslsw,3,FALSE)</f>
        <v>Mi</v>
      </c>
      <c r="I66" s="19">
        <f>VLOOKUP(2,Bezirkslsw,4,FALSE)</f>
        <v>0.7916666666666666</v>
      </c>
    </row>
    <row r="67" spans="1:9" ht="12.75">
      <c r="A67" s="17">
        <f>IF(B67="Mo",Spieltage!$B$48,IF(B67="Di",Spieltage!$B$49,IF(B67="Mi",Spieltage!$B$50,IF(B67="Do",Spieltage!$B$51,IF(B67="Fr",Spieltage!$B$52,"")))))</f>
        <v>41611</v>
      </c>
      <c r="B67" t="str">
        <f>VLOOKUP(8,Bezirkslsw,3,FALSE)</f>
        <v>Di</v>
      </c>
      <c r="C67" s="19">
        <f>VLOOKUP(8,Bezirkslsw,4,FALSE)</f>
        <v>0.8125</v>
      </c>
      <c r="D67" t="str">
        <f>VLOOKUP(8,Bezirkslsw,2,FALSE)</f>
        <v>TTC Köllerbach 2</v>
      </c>
      <c r="E67" s="18" t="s">
        <v>35</v>
      </c>
      <c r="F67" t="e">
        <f>VLOOKUP(11,Bezirkslsw,2,FALSE)</f>
        <v>#N/A</v>
      </c>
      <c r="G67" s="17" t="e">
        <f>IF(H67="Mo",Spieltage!$F$48,IF(H67="Di",Spieltage!$F$49,IF(H67="Mi",Spieltage!$F$50,IF(H67="Do",Spieltage!$F$51,IF(H67="Fr",Spieltage!$F$52,"")))))</f>
        <v>#N/A</v>
      </c>
      <c r="H67" t="e">
        <f>VLOOKUP(11,Bezirkslsw,3,FALSE)</f>
        <v>#N/A</v>
      </c>
      <c r="I67" s="19" t="e">
        <f>VLOOKUP(11,Bezirkslsw,4,FALSE)</f>
        <v>#N/A</v>
      </c>
    </row>
    <row r="68" spans="1:9" ht="12.75">
      <c r="A68" s="17">
        <f>IF(B68="Mo",Spieltage!$B$48,IF(B68="Di",Spieltage!$B$49,IF(B68="Mi",Spieltage!$B$50,IF(B68="Do",Spieltage!$B$51,IF(B68="Fr",Spieltage!$B$52,"")))))</f>
      </c>
      <c r="B68" t="str">
        <f>VLOOKUP(10,Bezirkslsw,3,FALSE)</f>
        <v> </v>
      </c>
      <c r="C68" s="19" t="str">
        <f>VLOOKUP(10,Bezirkslsw,4,FALSE)</f>
        <v> </v>
      </c>
      <c r="D68" t="str">
        <f>VLOOKUP(10,Bezirkslsw,2,FALSE)</f>
        <v>spielfrei</v>
      </c>
      <c r="E68" s="18" t="s">
        <v>35</v>
      </c>
      <c r="F68" t="str">
        <f>VLOOKUP(1,Bezirkslsw,2,FALSE)</f>
        <v>TTC Schwarzenholz</v>
      </c>
      <c r="G68" s="17">
        <f>IF(H68="Mo",Spieltage!$F$48,IF(H68="Di",Spieltage!$F$49,IF(H68="Mi",Spieltage!$F$50,IF(H68="Do",Spieltage!$F$51,IF(H68="Fr",Spieltage!$F$52,"")))))</f>
        <v>41732</v>
      </c>
      <c r="H68" t="str">
        <f>VLOOKUP(1,Bezirkslsw,3,FALSE)</f>
        <v>Do</v>
      </c>
      <c r="I68" s="19">
        <f>VLOOKUP(1,Bezirkslsw,4,FALSE)</f>
        <v>0.8333333333333334</v>
      </c>
    </row>
    <row r="69" spans="1:9" ht="12.75">
      <c r="A69" s="17" t="e">
        <f>IF(B69="Mo",Spieltage!$B$48,IF(B69="Di",Spieltage!$B$49,IF(B69="Mi",Spieltage!$B$50,IF(B69="Do",Spieltage!$B$51,IF(B69="Fr",Spieltage!$B$52,"")))))</f>
        <v>#N/A</v>
      </c>
      <c r="B69" t="e">
        <f>VLOOKUP(12,Bezirkslsw,3,FALSE)</f>
        <v>#N/A</v>
      </c>
      <c r="C69" s="19" t="e">
        <f>VLOOKUP(12,Bezirkslsw,4,FALSE)</f>
        <v>#N/A</v>
      </c>
      <c r="D69" t="e">
        <f>VLOOKUP(12,Bezirkslsw,2,FALSE)</f>
        <v>#N/A</v>
      </c>
      <c r="E69" s="18" t="s">
        <v>35</v>
      </c>
      <c r="F69" t="str">
        <f>VLOOKUP(4,Bezirkslsw,2,FALSE)</f>
        <v>TTG Dillingen 2</v>
      </c>
      <c r="G69" s="17">
        <f>IF(H69="Mo",Spieltage!$F$48,IF(H69="Di",Spieltage!$F$49,IF(H69="Mi",Spieltage!$F$50,IF(H69="Do",Spieltage!$F$51,IF(H69="Fr",Spieltage!$F$52,"")))))</f>
        <v>41732</v>
      </c>
      <c r="H69" t="str">
        <f>VLOOKUP(4,Bezirkslsw,3,FALSE)</f>
        <v>Do</v>
      </c>
      <c r="I69" s="19">
        <f>VLOOKUP(4,Bezirkslsw,4,FALSE)</f>
        <v>0.7916666666666666</v>
      </c>
    </row>
    <row r="71" spans="1:9" ht="12.75">
      <c r="A71" s="17">
        <f>IF(B71="Mo",Spieltage!$B$53,IF(B71="Di",Spieltage!$B$54,IF(B71="Mi",Spieltage!$B$55,IF(B71="Do",Spieltage!$B$56,IF(B71="Fr",Spieltage!$B$57,"")))))</f>
        <v>41606</v>
      </c>
      <c r="B71" t="str">
        <f>VLOOKUP(1,Bezirkslsw,3,FALSE)</f>
        <v>Do</v>
      </c>
      <c r="C71" s="19">
        <f>VLOOKUP(1,Bezirkslsw,4,FALSE)</f>
        <v>0.8333333333333334</v>
      </c>
      <c r="D71" t="str">
        <f>VLOOKUP(1,Bezirkslsw,2,FALSE)</f>
        <v>TTC Schwarzenholz</v>
      </c>
      <c r="E71" s="18" t="s">
        <v>35</v>
      </c>
      <c r="F71" t="str">
        <f>VLOOKUP(9,Bezirkslsw,2,FALSE)</f>
        <v>TTC Lockweiler-Krettnich</v>
      </c>
      <c r="G71" s="17">
        <f>IF(H71="Mo",Spieltage!$F$53,IF(H71="Di",Spieltage!$F$54,IF(H71="Mi",Spieltage!$F$55,IF(H71="Do",Spieltage!$F$56,IF(H71="Fr",Spieltage!$F$57,"")))))</f>
        <v>41722</v>
      </c>
      <c r="H71" t="str">
        <f>VLOOKUP(9,Bezirkslsw,3,FALSE)</f>
        <v>Mo</v>
      </c>
      <c r="I71" s="19">
        <f>VLOOKUP(9,Bezirkslsw,4,FALSE)</f>
        <v>0.8333333333333334</v>
      </c>
    </row>
    <row r="72" spans="1:9" ht="12.75">
      <c r="A72" s="17">
        <f>IF(B72="Mo",Spieltage!$B$53,IF(B72="Di",Spieltage!$B$54,IF(B72="Mi",Spieltage!$B$55,IF(B72="Do",Spieltage!$B$56,IF(B72="Fr",Spieltage!$B$57,"")))))</f>
        <v>41605</v>
      </c>
      <c r="B72" t="str">
        <f>VLOOKUP(2,Bezirkslsw,3,FALSE)</f>
        <v>Mi</v>
      </c>
      <c r="C72" s="19">
        <f>VLOOKUP(2,Bezirkslsw,4,FALSE)</f>
        <v>0.7916666666666666</v>
      </c>
      <c r="D72" t="str">
        <f>VLOOKUP(2,Bezirkslsw,2,FALSE)</f>
        <v>DJK Saarbrücken-Rastpfuhl   </v>
      </c>
      <c r="E72" s="18" t="s">
        <v>35</v>
      </c>
      <c r="F72" t="str">
        <f>VLOOKUP(8,Bezirkslsw,2,FALSE)</f>
        <v>TTC Köllerbach 2</v>
      </c>
      <c r="G72" s="17">
        <f>IF(H72="Mo",Spieltage!$F$53,IF(H72="Di",Spieltage!$F$54,IF(H72="Mi",Spieltage!$F$55,IF(H72="Do",Spieltage!$F$56,IF(H72="Fr",Spieltage!$F$57,"")))))</f>
        <v>41723</v>
      </c>
      <c r="H72" t="str">
        <f>VLOOKUP(8,Bezirkslsw,3,FALSE)</f>
        <v>Di</v>
      </c>
      <c r="I72" s="19">
        <f>VLOOKUP(8,Bezirkslsw,4,FALSE)</f>
        <v>0.8125</v>
      </c>
    </row>
    <row r="73" spans="1:9" ht="12.75">
      <c r="A73" s="17">
        <f>IF(B73="Mo",Spieltage!$B$53,IF(B73="Di",Spieltage!$B$54,IF(B73="Mi",Spieltage!$B$55,IF(B73="Do",Spieltage!$B$56,IF(B73="Fr",Spieltage!$B$57,"")))))</f>
        <v>41607</v>
      </c>
      <c r="B73" t="str">
        <f>VLOOKUP(3,Bezirkslsw,3,FALSE)</f>
        <v>Fr</v>
      </c>
      <c r="C73" s="19">
        <f>VLOOKUP(3,Bezirkslsw,4,FALSE)</f>
        <v>0.8125</v>
      </c>
      <c r="D73" t="str">
        <f>VLOOKUP(3,Bezirkslsw,2,FALSE)</f>
        <v>DJK Dudweiler 2</v>
      </c>
      <c r="E73" s="18" t="s">
        <v>35</v>
      </c>
      <c r="F73" t="e">
        <f>VLOOKUP(12,Bezirkslsw,2,FALSE)</f>
        <v>#N/A</v>
      </c>
      <c r="G73" s="17" t="e">
        <f>IF(H73="Mo",Spieltage!$F$53,IF(H73="Di",Spieltage!$F$54,IF(H73="Mi",Spieltage!$F$55,IF(H73="Do",Spieltage!$F$56,IF(H73="Fr",Spieltage!$F$57,"")))))</f>
        <v>#N/A</v>
      </c>
      <c r="H73" t="e">
        <f>VLOOKUP(12,Bezirkslsw,3,FALSE)</f>
        <v>#N/A</v>
      </c>
      <c r="I73" s="19" t="e">
        <f>VLOOKUP(12,Bezirkslsw,4,FALSE)</f>
        <v>#N/A</v>
      </c>
    </row>
    <row r="74" spans="1:9" ht="12.75">
      <c r="A74" s="17">
        <f>IF(B74="Mo",Spieltage!$B$53,IF(B74="Di",Spieltage!$B$54,IF(B74="Mi",Spieltage!$B$55,IF(B74="Do",Spieltage!$B$56,IF(B74="Fr",Spieltage!$B$57,"")))))</f>
        <v>41606</v>
      </c>
      <c r="B74" t="str">
        <f>VLOOKUP(4,Bezirkslsw,3,FALSE)</f>
        <v>Do</v>
      </c>
      <c r="C74" s="19">
        <f>VLOOKUP(4,Bezirkslsw,4,FALSE)</f>
        <v>0.7916666666666666</v>
      </c>
      <c r="D74" t="str">
        <f>VLOOKUP(4,Bezirkslsw,2,FALSE)</f>
        <v>TTG Dillingen 2</v>
      </c>
      <c r="E74" s="18" t="s">
        <v>35</v>
      </c>
      <c r="F74" t="str">
        <f>VLOOKUP(6,Bezirkslsw,2,FALSE)</f>
        <v>DJK Heusweiler 2</v>
      </c>
      <c r="G74" s="17">
        <f>IF(H74="Mo",Spieltage!$F$53,IF(H74="Di",Spieltage!$F$54,IF(H74="Mi",Spieltage!$F$55,IF(H74="Do",Spieltage!$F$56,IF(H74="Fr",Spieltage!$F$57,"")))))</f>
        <v>41726</v>
      </c>
      <c r="H74" t="str">
        <f>VLOOKUP(6,Bezirkslsw,3,FALSE)</f>
        <v>Fr</v>
      </c>
      <c r="I74" s="19">
        <f>VLOOKUP(6,Bezirkslsw,4,FALSE)</f>
        <v>0.7916666666666666</v>
      </c>
    </row>
    <row r="75" spans="1:9" ht="12.75">
      <c r="A75" s="17">
        <f>IF(B75="Mo",Spieltage!$B$53,IF(B75="Di",Spieltage!$B$54,IF(B75="Mi",Spieltage!$B$55,IF(B75="Do",Spieltage!$B$56,IF(B75="Fr",Spieltage!$B$57,"")))))</f>
      </c>
      <c r="B75" t="str">
        <f>VLOOKUP(10,Bezirkslsw,3,FALSE)</f>
        <v> </v>
      </c>
      <c r="C75" s="19" t="str">
        <f>VLOOKUP(10,Bezirkslsw,4,FALSE)</f>
        <v> </v>
      </c>
      <c r="D75" t="str">
        <f>VLOOKUP(10,Bezirkslsw,2,FALSE)</f>
        <v>spielfrei</v>
      </c>
      <c r="E75" s="18" t="s">
        <v>35</v>
      </c>
      <c r="F75" t="str">
        <f>VLOOKUP(5,Bezirkslsw,2,FALSE)</f>
        <v>TTC Wehrden </v>
      </c>
      <c r="G75" s="17">
        <f>IF(H75="Mo",Spieltage!$F$53,IF(H75="Di",Spieltage!$F$54,IF(H75="Mi",Spieltage!$F$55,IF(H75="Do",Spieltage!$F$56,IF(H75="Fr",Spieltage!$F$57,"")))))</f>
        <v>41722</v>
      </c>
      <c r="H75" t="str">
        <f>VLOOKUP(5,Bezirkslsw,3,FALSE)</f>
        <v>Mo</v>
      </c>
      <c r="I75" s="19">
        <f>VLOOKUP(5,Bezirkslsw,4,FALSE)</f>
        <v>0.7916666666666666</v>
      </c>
    </row>
    <row r="76" spans="1:9" ht="12.75">
      <c r="A76" s="17" t="e">
        <f>IF(B76="Mo",Spieltage!$B$53,IF(B76="Di",Spieltage!$B$54,IF(B76="Mi",Spieltage!$B$55,IF(B76="Do",Spieltage!$B$56,IF(B76="Fr",Spieltage!$B$57,"")))))</f>
        <v>#N/A</v>
      </c>
      <c r="B76" t="e">
        <f>VLOOKUP(11,Bezirkslsw,3,FALSE)</f>
        <v>#N/A</v>
      </c>
      <c r="C76" s="19" t="e">
        <f>VLOOKUP(11,Bezirkslsw,4,FALSE)</f>
        <v>#N/A</v>
      </c>
      <c r="D76" t="e">
        <f>VLOOKUP(11,Bezirkslsw,2,FALSE)</f>
        <v>#N/A</v>
      </c>
      <c r="E76" s="18" t="s">
        <v>35</v>
      </c>
      <c r="F76" t="str">
        <f>VLOOKUP(7,Bezirkslsw,2,FALSE)</f>
        <v>TTSV Fraulautern</v>
      </c>
      <c r="G76" s="17">
        <f>IF(H76="Mo",Spieltage!$F$53,IF(H76="Di",Spieltage!$F$54,IF(H76="Mi",Spieltage!$F$55,IF(H76="Do",Spieltage!$F$56,IF(H76="Fr",Spieltage!$F$57,"")))))</f>
        <v>41722</v>
      </c>
      <c r="H76" t="str">
        <f>VLOOKUP(7,Bezirkslsw,3,FALSE)</f>
        <v>Mo</v>
      </c>
      <c r="I76" s="19">
        <f>VLOOKUP(7,Bezirkslsw,4,FALSE)</f>
        <v>0.7916666666666666</v>
      </c>
    </row>
    <row r="78" spans="1:9" ht="12.75">
      <c r="A78" s="17">
        <f>IF(B78="Mo",Spieltage!$B$58,IF(B78="Di",Spieltage!$B$59,IF(B78="Mi",Spieltage!$B$60,IF(B78="Do",Spieltage!$B$61,IF(B78="Fr",Spieltage!$B$62,"")))))</f>
        <v>41610</v>
      </c>
      <c r="B78" t="str">
        <f>VLOOKUP(5,Bezirkslsw,3,FALSE)</f>
        <v>Mo</v>
      </c>
      <c r="C78" s="19">
        <f>VLOOKUP(5,Bezirkslsw,4,FALSE)</f>
        <v>0.7916666666666666</v>
      </c>
      <c r="D78" t="str">
        <f>VLOOKUP(5,Bezirkslsw,2,FALSE)</f>
        <v>TTC Wehrden </v>
      </c>
      <c r="E78" s="18" t="s">
        <v>35</v>
      </c>
      <c r="F78" t="str">
        <f>VLOOKUP(4,Bezirkslsw,2,FALSE)</f>
        <v>TTG Dillingen 2</v>
      </c>
      <c r="G78" s="17">
        <f>IF(H78="Mo",Spieltage!$F$58,IF(H78="Di",Spieltage!$F$59,IF(H78="Mi",Spieltage!$F$60,IF(H78="Do",Spieltage!$F$61,IF(H78="Fr",Spieltage!$F$62,"")))))</f>
        <v>41732</v>
      </c>
      <c r="H78" t="str">
        <f>VLOOKUP(4,Bezirkslsw,3,FALSE)</f>
        <v>Do</v>
      </c>
      <c r="I78" s="19">
        <f>VLOOKUP(4,Bezirkslsw,4,FALSE)</f>
        <v>0.7916666666666666</v>
      </c>
    </row>
    <row r="79" spans="1:9" ht="12.75">
      <c r="A79" s="17">
        <f>IF(B79="Mo",Spieltage!$B$58,IF(B79="Di",Spieltage!$B$59,IF(B79="Mi",Spieltage!$B$60,IF(B79="Do",Spieltage!$B$61,IF(B79="Fr",Spieltage!$B$62,"")))))</f>
        <v>41614</v>
      </c>
      <c r="B79" t="str">
        <f>VLOOKUP(6,Bezirkslsw,3,FALSE)</f>
        <v>Fr</v>
      </c>
      <c r="C79" s="19">
        <f>VLOOKUP(6,Bezirkslsw,4,FALSE)</f>
        <v>0.7916666666666666</v>
      </c>
      <c r="D79" t="str">
        <f>VLOOKUP(6,Bezirkslsw,2,FALSE)</f>
        <v>DJK Heusweiler 2</v>
      </c>
      <c r="E79" s="18" t="s">
        <v>35</v>
      </c>
      <c r="F79" t="str">
        <f>VLOOKUP(2,Bezirkslsw,2,FALSE)</f>
        <v>DJK Saarbrücken-Rastpfuhl   </v>
      </c>
      <c r="G79" s="17">
        <f>IF(H79="Mo",Spieltage!$F$58,IF(H79="Di",Spieltage!$F$59,IF(H79="Mi",Spieltage!$F$60,IF(H79="Do",Spieltage!$F$61,IF(H79="Fr",Spieltage!$F$62,"")))))</f>
        <v>41731</v>
      </c>
      <c r="H79" t="str">
        <f>VLOOKUP(2,Bezirkslsw,3,FALSE)</f>
        <v>Mi</v>
      </c>
      <c r="I79" s="19">
        <f>VLOOKUP(2,Bezirkslsw,4,FALSE)</f>
        <v>0.7916666666666666</v>
      </c>
    </row>
    <row r="80" spans="1:9" ht="12.75">
      <c r="A80" s="17">
        <f>IF(B80="Mo",Spieltage!$B$58,IF(B80="Di",Spieltage!$B$59,IF(B80="Mi",Spieltage!$B$60,IF(B80="Do",Spieltage!$B$61,IF(B80="Fr",Spieltage!$B$62,"")))))</f>
        <v>41610</v>
      </c>
      <c r="B80" t="str">
        <f>VLOOKUP(7,Bezirkslsw,3,FALSE)</f>
        <v>Mo</v>
      </c>
      <c r="C80" s="19">
        <f>VLOOKUP(7,Bezirkslsw,4,FALSE)</f>
        <v>0.7916666666666666</v>
      </c>
      <c r="D80" t="str">
        <f>VLOOKUP(7,Bezirkslsw,2,FALSE)</f>
        <v>TTSV Fraulautern</v>
      </c>
      <c r="E80" s="18" t="s">
        <v>35</v>
      </c>
      <c r="F80" t="str">
        <f>VLOOKUP(3,Bezirkslsw,2,FALSE)</f>
        <v>DJK Dudweiler 2</v>
      </c>
      <c r="G80" s="17">
        <f>IF(H80="Mo",Spieltage!$F$58,IF(H80="Di",Spieltage!$F$59,IF(H80="Mi",Spieltage!$F$60,IF(H80="Do",Spieltage!$F$61,IF(H80="Fr",Spieltage!$F$62,"")))))</f>
        <v>41733</v>
      </c>
      <c r="H80" t="str">
        <f>VLOOKUP(3,Bezirkslsw,3,FALSE)</f>
        <v>Fr</v>
      </c>
      <c r="I80" s="19">
        <f>VLOOKUP(3,Bezirkslsw,4,FALSE)</f>
        <v>0.8125</v>
      </c>
    </row>
    <row r="81" spans="1:9" ht="12.75">
      <c r="A81" s="17">
        <f>IF(B81="Mo",Spieltage!$B$58,IF(B81="Di",Spieltage!$B$59,IF(B81="Mi",Spieltage!$B$60,IF(B81="Do",Spieltage!$B$61,IF(B81="Fr",Spieltage!$B$62,"")))))</f>
        <v>41611</v>
      </c>
      <c r="B81" t="str">
        <f>VLOOKUP(8,Bezirkslsw,3,FALSE)</f>
        <v>Di</v>
      </c>
      <c r="C81" s="19">
        <f>VLOOKUP(8,Bezirkslsw,4,FALSE)</f>
        <v>0.8125</v>
      </c>
      <c r="D81" t="str">
        <f>VLOOKUP(8,Bezirkslsw,2,FALSE)</f>
        <v>TTC Köllerbach 2</v>
      </c>
      <c r="E81" s="18" t="s">
        <v>35</v>
      </c>
      <c r="F81" t="str">
        <f>VLOOKUP(1,Bezirkslsw,2,FALSE)</f>
        <v>TTC Schwarzenholz</v>
      </c>
      <c r="G81" s="17">
        <f>IF(H81="Mo",Spieltage!$F$58,IF(H81="Di",Spieltage!$F$59,IF(H81="Mi",Spieltage!$F$60,IF(H81="Do",Spieltage!$F$61,IF(H81="Fr",Spieltage!$F$62,"")))))</f>
        <v>41732</v>
      </c>
      <c r="H81" t="str">
        <f>VLOOKUP(1,Bezirkslsw,3,FALSE)</f>
        <v>Do</v>
      </c>
      <c r="I81" s="19">
        <f>VLOOKUP(1,Bezirkslsw,4,FALSE)</f>
        <v>0.8333333333333334</v>
      </c>
    </row>
    <row r="82" spans="1:9" ht="12.75">
      <c r="A82" s="17">
        <f>IF(B82="Mo",Spieltage!$B$58,IF(B82="Di",Spieltage!$B$59,IF(B82="Mi",Spieltage!$B$60,IF(B82="Do",Spieltage!$B$61,IF(B82="Fr",Spieltage!$B$62,"")))))</f>
        <v>41610</v>
      </c>
      <c r="B82" t="str">
        <f>VLOOKUP(9,Bezirkslsw,3,FALSE)</f>
        <v>Mo</v>
      </c>
      <c r="C82" s="19">
        <f>VLOOKUP(9,Bezirkslsw,4,FALSE)</f>
        <v>0.8333333333333334</v>
      </c>
      <c r="D82" t="str">
        <f>VLOOKUP(9,Bezirkslsw,2,FALSE)</f>
        <v>TTC Lockweiler-Krettnich</v>
      </c>
      <c r="E82" s="18" t="s">
        <v>35</v>
      </c>
      <c r="F82" t="e">
        <f>VLOOKUP(11,Bezirkslsw,2,FALSE)</f>
        <v>#N/A</v>
      </c>
      <c r="G82" s="17" t="e">
        <f>IF(H82="Mo",Spieltage!$F$58,IF(H82="Di",Spieltage!$F$59,IF(H82="Mi",Spieltage!$F$60,IF(H82="Do",Spieltage!$F$61,IF(H82="Fr",Spieltage!$F$62,"")))))</f>
        <v>#N/A</v>
      </c>
      <c r="H82" t="e">
        <f>VLOOKUP(11,Bezirkslsw,3,FALSE)</f>
        <v>#N/A</v>
      </c>
      <c r="I82" s="19" t="e">
        <f>VLOOKUP(11,Bezirkslsw,4,FALSE)</f>
        <v>#N/A</v>
      </c>
    </row>
    <row r="83" spans="1:9" ht="12.75">
      <c r="A83" s="17" t="e">
        <f>IF(B83="Mo",Spieltage!$B$58,IF(B83="Di",Spieltage!$B$59,IF(B83="Mi",Spieltage!$B$60,IF(B83="Do",Spieltage!$B$61,IF(B83="Fr",Spieltage!$B$62,"")))))</f>
        <v>#N/A</v>
      </c>
      <c r="B83" t="e">
        <f>VLOOKUP(12,Bezirkslsw,3,FALSE)</f>
        <v>#N/A</v>
      </c>
      <c r="C83" s="19" t="e">
        <f>VLOOKUP(12,Bezirkslsw,4,FALSE)</f>
        <v>#N/A</v>
      </c>
      <c r="D83" t="e">
        <f>VLOOKUP(12,Bezirkslsw,2,FALSE)</f>
        <v>#N/A</v>
      </c>
      <c r="E83" s="18" t="s">
        <v>35</v>
      </c>
      <c r="F83" t="str">
        <f>VLOOKUP(10,Bezirkslsw,2,FALSE)</f>
        <v>spielfrei</v>
      </c>
      <c r="G83" s="17">
        <f>IF(H83="Mo",Spieltage!$F$58,IF(H83="Di",Spieltage!$F$59,IF(H83="Mi",Spieltage!$F$60,IF(H83="Do",Spieltage!$F$61,IF(H83="Fr",Spieltage!$F$62,"")))))</f>
      </c>
      <c r="H83" t="str">
        <f>VLOOKUP(10,Bezirkslsw,3,FALSE)</f>
        <v> </v>
      </c>
      <c r="I83" s="19" t="str">
        <f>VLOOKUP(10,Bezirkslsw,4,FALSE)</f>
        <v> </v>
      </c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rowBreaks count="1" manualBreakCount="1">
    <brk id="55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2" sqref="A2"/>
    </sheetView>
  </sheetViews>
  <sheetFormatPr defaultColWidth="11.421875" defaultRowHeight="12.75"/>
  <cols>
    <col min="1" max="1" width="10.28125" style="0" customWidth="1"/>
    <col min="2" max="2" width="3.7109375" style="0" customWidth="1"/>
    <col min="3" max="3" width="5.7109375" style="0" customWidth="1"/>
    <col min="4" max="4" width="21.7109375" style="0" customWidth="1"/>
    <col min="5" max="5" width="1.7109375" style="0" customWidth="1"/>
    <col min="6" max="6" width="21.7109375" style="0" customWidth="1"/>
    <col min="7" max="7" width="10.28125" style="0" customWidth="1"/>
    <col min="8" max="8" width="3.7109375" style="0" customWidth="1"/>
    <col min="9" max="9" width="5.7109375" style="0" customWidth="1"/>
  </cols>
  <sheetData>
    <row r="1" spans="1:9" ht="12.75">
      <c r="A1" s="1" t="s">
        <v>31</v>
      </c>
      <c r="I1" s="20" t="s">
        <v>32</v>
      </c>
    </row>
    <row r="2" ht="15.75">
      <c r="D2" s="4" t="s">
        <v>37</v>
      </c>
    </row>
    <row r="4" spans="1:4" ht="15.75">
      <c r="A4" s="4" t="s">
        <v>33</v>
      </c>
      <c r="D4" s="1" t="str">
        <f>Spieltage!A3&amp;" "&amp;Spieltage!B3</f>
        <v>Saison 2013/2014</v>
      </c>
    </row>
    <row r="6" spans="1:7" ht="12.75">
      <c r="A6" s="1" t="s">
        <v>28</v>
      </c>
      <c r="G6" s="1" t="s">
        <v>30</v>
      </c>
    </row>
    <row r="8" spans="1:9" ht="12.75">
      <c r="A8" s="17">
        <f>IF(B8="Mo",Spieltage!$B$8,IF(B8="Di",Spieltage!$B$9,IF(B8="Mi",Spieltage!$B$10,IF(B8="Do",Spieltage!$B$11,IF(B8="Fr",Spieltage!$B$12,"")))))</f>
        <v>41530</v>
      </c>
      <c r="B8" t="str">
        <f>VLOOKUP(1,Bezirkslno,3,FALSE)</f>
        <v>Fr</v>
      </c>
      <c r="C8" s="19">
        <f>VLOOKUP(1,Bezirkslno,4,FALSE)</f>
        <v>0.8125</v>
      </c>
      <c r="D8" t="str">
        <f>VLOOKUP(1,Bezirkslno,2,FALSE)</f>
        <v>TTG Rohrbach-St. Ingbert</v>
      </c>
      <c r="E8" s="18" t="s">
        <v>35</v>
      </c>
      <c r="F8" t="str">
        <f>VLOOKUP(9,Bezirkslno,2,FALSE)</f>
        <v>TuS Neunkirchen</v>
      </c>
      <c r="G8" s="17">
        <f>IF(H8="Mo",Spieltage!$F$8,IF(H8="Di",Spieltage!$F$9,IF(H8="Mi",Spieltage!$F$10,IF(H8="Do",Spieltage!$F$11,IF(H8="Fr",Spieltage!$F$12,"")))))</f>
        <v>41647</v>
      </c>
      <c r="H8" t="str">
        <f>VLOOKUP(9,Bezirkslno,3,FALSE)</f>
        <v>Mi</v>
      </c>
      <c r="I8" s="19">
        <f>VLOOKUP(9,Bezirkslno,4,FALSE)</f>
        <v>0.8125</v>
      </c>
    </row>
    <row r="9" spans="1:9" ht="12.75">
      <c r="A9" s="17">
        <f>IF(B9="Mo",Spieltage!$B$8,IF(B9="Di",Spieltage!$B$9,IF(B9="Mi",Spieltage!$B$10,IF(B9="Do",Spieltage!$B$11,IF(B9="Fr",Spieltage!$B$12,"")))))</f>
        <v>41526</v>
      </c>
      <c r="B9" t="str">
        <f>VLOOKUP(2,Bezirkslno,3,FALSE)</f>
        <v>Mo</v>
      </c>
      <c r="C9" s="19">
        <f>VLOOKUP(2,Bezirkslno,4,FALSE)</f>
        <v>0.7916666666666666</v>
      </c>
      <c r="D9" t="str">
        <f>VLOOKUP(2,Bezirkslno,2,FALSE)</f>
        <v>TTG Marpingen-Alsweiler </v>
      </c>
      <c r="E9" s="18" t="s">
        <v>35</v>
      </c>
      <c r="F9" t="str">
        <f>VLOOKUP(8,Bezirkslno,2,FALSE)</f>
        <v>TTC Lebach</v>
      </c>
      <c r="G9" s="17">
        <f>IF(H9="Mo",Spieltage!$F$8,IF(H9="Di",Spieltage!$F$9,IF(H9="Mi",Spieltage!$F$10,IF(H9="Do",Spieltage!$F$11,IF(H9="Fr",Spieltage!$F$12,"")))))</f>
        <v>41648</v>
      </c>
      <c r="H9" t="str">
        <f>VLOOKUP(8,Bezirkslno,3,FALSE)</f>
        <v>Do</v>
      </c>
      <c r="I9" s="19">
        <f>VLOOKUP(8,Bezirkslno,4,FALSE)</f>
        <v>0.8125</v>
      </c>
    </row>
    <row r="10" spans="1:9" ht="12.75">
      <c r="A10" s="17">
        <f>IF(B10="Mo",Spieltage!$B$8,IF(B10="Di",Spieltage!$B$9,IF(B10="Mi",Spieltage!$B$10,IF(B10="Do",Spieltage!$B$11,IF(B10="Fr",Spieltage!$B$12,"")))))</f>
        <v>41529</v>
      </c>
      <c r="B10" t="str">
        <f>VLOOKUP(3,Bezirkslno,3,FALSE)</f>
        <v>Do</v>
      </c>
      <c r="C10" s="19">
        <f>VLOOKUP(3,Bezirkslno,4,FALSE)</f>
        <v>0.8125</v>
      </c>
      <c r="D10" t="str">
        <f>VLOOKUP(3,Bezirkslno,2,FALSE)</f>
        <v>TTC Neuweiler </v>
      </c>
      <c r="E10" s="18" t="s">
        <v>35</v>
      </c>
      <c r="F10" t="str">
        <f>VLOOKUP(7,Bezirkslno,2,FALSE)</f>
        <v>DJK Dudweiler 3</v>
      </c>
      <c r="G10" s="17">
        <f>IF(H10="Mo",Spieltage!$F$8,IF(H10="Di",Spieltage!$F$9,IF(H10="Mi",Spieltage!$F$10,IF(H10="Do",Spieltage!$F$11,IF(H10="Fr",Spieltage!$F$12,"")))))</f>
        <v>41649</v>
      </c>
      <c r="H10" t="str">
        <f>VLOOKUP(7,Bezirkslno,3,FALSE)</f>
        <v>Fr</v>
      </c>
      <c r="I10" s="19">
        <f>VLOOKUP(7,Bezirkslno,4,FALSE)</f>
        <v>0.8125</v>
      </c>
    </row>
    <row r="11" spans="1:9" ht="12.75">
      <c r="A11" s="17">
        <f>IF(B11="Mo",Spieltage!$B$8,IF(B11="Di",Spieltage!$B$9,IF(B11="Mi",Spieltage!$B$10,IF(B11="Do",Spieltage!$B$11,IF(B11="Fr",Spieltage!$B$12,"")))))</f>
        <v>41526</v>
      </c>
      <c r="B11" t="str">
        <f>VLOOKUP(4,Bezirkslno,3,FALSE)</f>
        <v>Mo</v>
      </c>
      <c r="C11" s="19">
        <f>VLOOKUP(4,Bezirkslno,4,FALSE)</f>
        <v>0.8333333333333334</v>
      </c>
      <c r="D11" t="str">
        <f>VLOOKUP(4,Bezirkslno,2,FALSE)</f>
        <v>SG TTG Neunkirchen/Landsw.-Reden</v>
      </c>
      <c r="E11" s="18" t="s">
        <v>35</v>
      </c>
      <c r="F11" t="str">
        <f>VLOOKUP(6,Bezirkslno,2,FALSE)</f>
        <v>TTG Holz-Wahlschied </v>
      </c>
      <c r="G11" s="17">
        <f>IF(H11="Mo",Spieltage!$F$8,IF(H11="Di",Spieltage!$F$9,IF(H11="Mi",Spieltage!$F$10,IF(H11="Do",Spieltage!$F$11,IF(H11="Fr",Spieltage!$F$12,"")))))</f>
        <v>41646</v>
      </c>
      <c r="H11" t="str">
        <f>VLOOKUP(6,Bezirkslno,3,FALSE)</f>
        <v>Di</v>
      </c>
      <c r="I11" s="19">
        <f>VLOOKUP(6,Bezirkslno,4,FALSE)</f>
        <v>0.8125</v>
      </c>
    </row>
    <row r="12" spans="1:9" ht="12.75">
      <c r="A12" s="17">
        <f>IF(B12="Mo",Spieltage!$B$8,IF(B12="Di",Spieltage!$B$9,IF(B12="Mi",Spieltage!$B$10,IF(B12="Do",Spieltage!$B$11,IF(B12="Fr",Spieltage!$B$12,"")))))</f>
        <v>41526</v>
      </c>
      <c r="B12" t="str">
        <f>VLOOKUP(10,Bezirkslno,3,FALSE)</f>
        <v>Mo</v>
      </c>
      <c r="C12" s="19">
        <f>VLOOKUP(10,Bezirkslno,4,FALSE)</f>
        <v>0.8125</v>
      </c>
      <c r="D12" t="str">
        <f>VLOOKUP(10,Bezirkslno,2,FALSE)</f>
        <v>DJK Schiffweiler</v>
      </c>
      <c r="E12" s="18" t="s">
        <v>35</v>
      </c>
      <c r="F12" t="str">
        <f>VLOOKUP(5,Bezirkslno,2,FALSE)</f>
        <v>DJK Bildstock </v>
      </c>
      <c r="G12" s="17">
        <f>IF(H12="Mo",Spieltage!$F$8,IF(H12="Di",Spieltage!$F$9,IF(H12="Mi",Spieltage!$F$10,IF(H12="Do",Spieltage!$F$11,IF(H12="Fr",Spieltage!$F$12,"")))))</f>
        <v>41648</v>
      </c>
      <c r="H12" t="str">
        <f>VLOOKUP(5,Bezirkslno,3,FALSE)</f>
        <v>Do</v>
      </c>
      <c r="I12" s="19">
        <f>VLOOKUP(5,Bezirkslno,4,FALSE)</f>
        <v>0.8125</v>
      </c>
    </row>
    <row r="13" ht="12.75">
      <c r="E13" s="18"/>
    </row>
    <row r="14" spans="1:9" ht="12.75">
      <c r="A14" s="17">
        <f>IF(B14="Mo",Spieltage!$B$13,IF(B14="Di",Spieltage!$B$14,IF(B14="Mi",Spieltage!$B$15,IF(B14="Do",Spieltage!$B$16,IF(B14="Fr",Spieltage!$B$17,"")))))</f>
        <v>41537</v>
      </c>
      <c r="B14" t="str">
        <f>VLOOKUP(1,Bezirkslno,3,FALSE)</f>
        <v>Fr</v>
      </c>
      <c r="C14" s="19">
        <f>VLOOKUP(1,Bezirkslno,4,FALSE)</f>
        <v>0.8125</v>
      </c>
      <c r="D14" t="str">
        <f>VLOOKUP(1,Bezirkslno,2,FALSE)</f>
        <v>TTG Rohrbach-St. Ingbert</v>
      </c>
      <c r="E14" s="18" t="s">
        <v>35</v>
      </c>
      <c r="F14" t="str">
        <f>VLOOKUP(3,Bezirkslno,2,FALSE)</f>
        <v>TTC Neuweiler </v>
      </c>
      <c r="G14" s="17">
        <f>IF(H14="Mo",Spieltage!$F$13,IF(H14="Di",Spieltage!$F$14,IF(H14="Mi",Spieltage!$F$15,IF(H14="Do",Spieltage!$F$16,IF(H14="Fr",Spieltage!$F$17,"")))))</f>
        <v>41662</v>
      </c>
      <c r="H14" t="str">
        <f>VLOOKUP(3,Bezirkslno,3,FALSE)</f>
        <v>Do</v>
      </c>
      <c r="I14" s="19">
        <f>VLOOKUP(3,Bezirkslno,4,FALSE)</f>
        <v>0.8125</v>
      </c>
    </row>
    <row r="15" spans="1:9" ht="12.75">
      <c r="A15" s="17">
        <f>IF(B15="Mo",Spieltage!$B$13,IF(B15="Di",Spieltage!$B$14,IF(B15="Mi",Spieltage!$B$15,IF(B15="Do",Spieltage!$B$16,IF(B15="Fr",Spieltage!$B$17,"")))))</f>
        <v>41534</v>
      </c>
      <c r="B15" t="str">
        <f>VLOOKUP(6,Bezirkslno,3,FALSE)</f>
        <v>Di</v>
      </c>
      <c r="C15" s="19">
        <f>VLOOKUP(6,Bezirkslno,4,FALSE)</f>
        <v>0.8125</v>
      </c>
      <c r="D15" t="str">
        <f>VLOOKUP(6,Bezirkslno,2,FALSE)</f>
        <v>TTG Holz-Wahlschied </v>
      </c>
      <c r="E15" s="18" t="s">
        <v>35</v>
      </c>
      <c r="F15" t="str">
        <f>VLOOKUP(10,Bezirkslno,2,FALSE)</f>
        <v>DJK Schiffweiler</v>
      </c>
      <c r="G15" s="17">
        <f>IF(H15="Mo",Spieltage!$F$13,IF(H15="Di",Spieltage!$F$14,IF(H15="Mi",Spieltage!$F$15,IF(H15="Do",Spieltage!$F$16,IF(H15="Fr",Spieltage!$F$17,"")))))</f>
        <v>41659</v>
      </c>
      <c r="H15" t="str">
        <f>VLOOKUP(10,Bezirkslno,3,FALSE)</f>
        <v>Mo</v>
      </c>
      <c r="I15" s="19">
        <f>VLOOKUP(10,Bezirkslno,4,FALSE)</f>
        <v>0.8125</v>
      </c>
    </row>
    <row r="16" spans="1:9" ht="12.75">
      <c r="A16" s="17">
        <f>IF(B16="Mo",Spieltage!$B$13,IF(B16="Di",Spieltage!$B$14,IF(B16="Mi",Spieltage!$B$15,IF(B16="Do",Spieltage!$B$16,IF(B16="Fr",Spieltage!$B$17,"")))))</f>
        <v>41537</v>
      </c>
      <c r="B16" t="str">
        <f>VLOOKUP(7,Bezirkslno,3,FALSE)</f>
        <v>Fr</v>
      </c>
      <c r="C16" s="19">
        <f>VLOOKUP(7,Bezirkslno,4,FALSE)</f>
        <v>0.8125</v>
      </c>
      <c r="D16" t="str">
        <f>VLOOKUP(7,Bezirkslno,2,FALSE)</f>
        <v>DJK Dudweiler 3</v>
      </c>
      <c r="E16" s="18" t="s">
        <v>35</v>
      </c>
      <c r="F16" t="str">
        <f>VLOOKUP(4,Bezirkslno,2,FALSE)</f>
        <v>SG TTG Neunkirchen/Landsw.-Reden</v>
      </c>
      <c r="G16" s="17">
        <f>IF(H16="Mo",Spieltage!$F$13,IF(H16="Di",Spieltage!$F$14,IF(H16="Mi",Spieltage!$F$15,IF(H16="Do",Spieltage!$F$16,IF(H16="Fr",Spieltage!$F$17,"")))))</f>
        <v>41659</v>
      </c>
      <c r="H16" t="str">
        <f>VLOOKUP(4,Bezirkslno,3,FALSE)</f>
        <v>Mo</v>
      </c>
      <c r="I16" s="19">
        <f>VLOOKUP(4,Bezirkslno,4,FALSE)</f>
        <v>0.8333333333333334</v>
      </c>
    </row>
    <row r="17" spans="1:9" ht="12.75">
      <c r="A17" s="17">
        <f>IF(B17="Mo",Spieltage!$B$13,IF(B17="Di",Spieltage!$B$14,IF(B17="Mi",Spieltage!$B$15,IF(B17="Do",Spieltage!$B$16,IF(B17="Fr",Spieltage!$B$17,"")))))</f>
        <v>41536</v>
      </c>
      <c r="B17" t="str">
        <f>VLOOKUP(8,Bezirkslno,3,FALSE)</f>
        <v>Do</v>
      </c>
      <c r="C17" s="19">
        <f>VLOOKUP(8,Bezirkslno,4,FALSE)</f>
        <v>0.8125</v>
      </c>
      <c r="D17" t="str">
        <f>VLOOKUP(8,Bezirkslno,2,FALSE)</f>
        <v>TTC Lebach</v>
      </c>
      <c r="E17" s="18" t="s">
        <v>35</v>
      </c>
      <c r="F17" t="str">
        <f>VLOOKUP(5,Bezirkslno,2,FALSE)</f>
        <v>DJK Bildstock </v>
      </c>
      <c r="G17" s="17">
        <f>IF(H17="Mo",Spieltage!$F$13,IF(H17="Di",Spieltage!$F$14,IF(H17="Mi",Spieltage!$F$15,IF(H17="Do",Spieltage!$F$16,IF(H17="Fr",Spieltage!$F$17,"")))))</f>
        <v>41662</v>
      </c>
      <c r="H17" t="str">
        <f>VLOOKUP(5,Bezirkslno,3,FALSE)</f>
        <v>Do</v>
      </c>
      <c r="I17" s="19">
        <f>VLOOKUP(5,Bezirkslno,4,FALSE)</f>
        <v>0.8125</v>
      </c>
    </row>
    <row r="18" spans="1:9" ht="12.75">
      <c r="A18" s="17">
        <f>IF(B18="Mo",Spieltage!$B$13,IF(B18="Di",Spieltage!$B$14,IF(B18="Mi",Spieltage!$B$15,IF(B18="Do",Spieltage!$B$16,IF(B18="Fr",Spieltage!$B$17,"")))))</f>
        <v>41535</v>
      </c>
      <c r="B18" t="str">
        <f>VLOOKUP(9,Bezirkslno,3,FALSE)</f>
        <v>Mi</v>
      </c>
      <c r="C18" s="19">
        <f>VLOOKUP(9,Bezirkslno,4,FALSE)</f>
        <v>0.8125</v>
      </c>
      <c r="D18" t="str">
        <f>VLOOKUP(9,Bezirkslno,2,FALSE)</f>
        <v>TuS Neunkirchen</v>
      </c>
      <c r="E18" s="18" t="s">
        <v>35</v>
      </c>
      <c r="F18" t="str">
        <f>VLOOKUP(2,Bezirkslno,2,FALSE)</f>
        <v>TTG Marpingen-Alsweiler </v>
      </c>
      <c r="G18" s="17">
        <f>IF(H18="Mo",Spieltage!$F$13,IF(H18="Di",Spieltage!$F$14,IF(H18="Mi",Spieltage!$F$15,IF(H18="Do",Spieltage!$F$16,IF(H18="Fr",Spieltage!$F$17,"")))))</f>
        <v>41659</v>
      </c>
      <c r="H18" t="str">
        <f>VLOOKUP(2,Bezirkslno,3,FALSE)</f>
        <v>Mo</v>
      </c>
      <c r="I18" s="19">
        <f>VLOOKUP(2,Bezirkslno,4,FALSE)</f>
        <v>0.7916666666666666</v>
      </c>
    </row>
    <row r="20" spans="1:9" ht="12.75">
      <c r="A20" s="17">
        <f>IF(B20="Mo",Spieltage!$B$18,IF(B20="Di",Spieltage!$B$19,IF(B20="Mi",Spieltage!$B$20,IF(B20="Do",Spieltage!$B$21,IF(B20="Fr",Spieltage!$B$22,"")))))</f>
        <v>41540</v>
      </c>
      <c r="B20" t="str">
        <f>VLOOKUP(2,Bezirkslno,3,FALSE)</f>
        <v>Mo</v>
      </c>
      <c r="C20" s="19">
        <f>VLOOKUP(2,Bezirkslno,4,FALSE)</f>
        <v>0.7916666666666666</v>
      </c>
      <c r="D20" t="str">
        <f>VLOOKUP(2,Bezirkslno,2,FALSE)</f>
        <v>TTG Marpingen-Alsweiler </v>
      </c>
      <c r="E20" s="18" t="s">
        <v>35</v>
      </c>
      <c r="F20" t="str">
        <f>VLOOKUP(1,Bezirkslno,2,FALSE)</f>
        <v>TTG Rohrbach-St. Ingbert</v>
      </c>
      <c r="G20" s="17">
        <f>IF(H20="Mo",Spieltage!$F$18,IF(H20="Di",Spieltage!$F$19,IF(H20="Mi",Spieltage!$F$20,IF(H20="Do",Spieltage!$F$21,IF(H20="Fr",Spieltage!$F$22,"")))))</f>
        <v>41670</v>
      </c>
      <c r="H20" t="str">
        <f>VLOOKUP(1,Bezirkslno,3,FALSE)</f>
        <v>Fr</v>
      </c>
      <c r="I20" s="19">
        <f>VLOOKUP(1,Bezirkslno,4,FALSE)</f>
        <v>0.8125</v>
      </c>
    </row>
    <row r="21" spans="1:9" ht="12.75">
      <c r="A21" s="17">
        <f>IF(B21="Mo",Spieltage!$B$18,IF(B21="Di",Spieltage!$B$19,IF(B21="Mi",Spieltage!$B$20,IF(B21="Do",Spieltage!$B$21,IF(B21="Fr",Spieltage!$B$22,"")))))</f>
        <v>41543</v>
      </c>
      <c r="B21" t="str">
        <f>VLOOKUP(3,Bezirkslno,3,FALSE)</f>
        <v>Do</v>
      </c>
      <c r="C21" s="19">
        <f>VLOOKUP(3,Bezirkslno,4,FALSE)</f>
        <v>0.8125</v>
      </c>
      <c r="D21" t="str">
        <f>VLOOKUP(3,Bezirkslno,2,FALSE)</f>
        <v>TTC Neuweiler </v>
      </c>
      <c r="E21" s="18" t="s">
        <v>35</v>
      </c>
      <c r="F21" t="str">
        <f>VLOOKUP(9,Bezirkslno,2,FALSE)</f>
        <v>TuS Neunkirchen</v>
      </c>
      <c r="G21" s="17">
        <f>IF(H21="Mo",Spieltage!$F$18,IF(H21="Di",Spieltage!$F$19,IF(H21="Mi",Spieltage!$F$20,IF(H21="Do",Spieltage!$F$21,IF(H21="Fr",Spieltage!$F$22,"")))))</f>
        <v>41668</v>
      </c>
      <c r="H21" t="str">
        <f>VLOOKUP(9,Bezirkslno,3,FALSE)</f>
        <v>Mi</v>
      </c>
      <c r="I21" s="19">
        <f>VLOOKUP(9,Bezirkslno,4,FALSE)</f>
        <v>0.8125</v>
      </c>
    </row>
    <row r="22" spans="1:9" ht="12.75">
      <c r="A22" s="17">
        <f>IF(B22="Mo",Spieltage!$B$18,IF(B22="Di",Spieltage!$B$19,IF(B22="Mi",Spieltage!$B$20,IF(B22="Do",Spieltage!$B$21,IF(B22="Fr",Spieltage!$B$22,"")))))</f>
        <v>41540</v>
      </c>
      <c r="B22" t="str">
        <f>VLOOKUP(4,Bezirkslno,3,FALSE)</f>
        <v>Mo</v>
      </c>
      <c r="C22" s="19">
        <f>VLOOKUP(4,Bezirkslno,4,FALSE)</f>
        <v>0.8333333333333334</v>
      </c>
      <c r="D22" t="str">
        <f>VLOOKUP(4,Bezirkslno,2,FALSE)</f>
        <v>SG TTG Neunkirchen/Landsw.-Reden</v>
      </c>
      <c r="E22" s="18" t="s">
        <v>35</v>
      </c>
      <c r="F22" t="str">
        <f>VLOOKUP(8,Bezirkslno,2,FALSE)</f>
        <v>TTC Lebach</v>
      </c>
      <c r="G22" s="17">
        <f>IF(H22="Mo",Spieltage!$F$18,IF(H22="Di",Spieltage!$F$19,IF(H22="Mi",Spieltage!$F$20,IF(H22="Do",Spieltage!$F$21,IF(H22="Fr",Spieltage!$F$22,"")))))</f>
        <v>41669</v>
      </c>
      <c r="H22" t="str">
        <f>VLOOKUP(8,Bezirkslno,3,FALSE)</f>
        <v>Do</v>
      </c>
      <c r="I22" s="19">
        <f>VLOOKUP(8,Bezirkslno,4,FALSE)</f>
        <v>0.8125</v>
      </c>
    </row>
    <row r="23" spans="1:9" ht="12.75">
      <c r="A23" s="17">
        <f>IF(B23="Mo",Spieltage!$B$18,IF(B23="Di",Spieltage!$B$19,IF(B23="Mi",Spieltage!$B$20,IF(B23="Do",Spieltage!$B$21,IF(B23="Fr",Spieltage!$B$22,"")))))</f>
        <v>41543</v>
      </c>
      <c r="B23" t="str">
        <f>VLOOKUP(5,Bezirkslno,3,FALSE)</f>
        <v>Do</v>
      </c>
      <c r="C23" s="19">
        <f>VLOOKUP(5,Bezirkslno,4,FALSE)</f>
        <v>0.8125</v>
      </c>
      <c r="D23" t="str">
        <f>VLOOKUP(5,Bezirkslno,2,FALSE)</f>
        <v>DJK Bildstock </v>
      </c>
      <c r="E23" s="18" t="s">
        <v>35</v>
      </c>
      <c r="F23" t="str">
        <f>VLOOKUP(6,Bezirkslno,2,FALSE)</f>
        <v>TTG Holz-Wahlschied </v>
      </c>
      <c r="G23" s="17">
        <f>IF(H23="Mo",Spieltage!$F$18,IF(H23="Di",Spieltage!$F$19,IF(H23="Mi",Spieltage!$F$20,IF(H23="Do",Spieltage!$F$21,IF(H23="Fr",Spieltage!$F$22,"")))))</f>
        <v>41667</v>
      </c>
      <c r="H23" t="str">
        <f>VLOOKUP(6,Bezirkslno,3,FALSE)</f>
        <v>Di</v>
      </c>
      <c r="I23" s="19">
        <f>VLOOKUP(6,Bezirkslno,4,FALSE)</f>
        <v>0.8125</v>
      </c>
    </row>
    <row r="24" spans="1:9" ht="12.75">
      <c r="A24" s="17">
        <f>IF(B24="Mo",Spieltage!$B$18,IF(B24="Di",Spieltage!$B$19,IF(B24="Mi",Spieltage!$B$20,IF(B24="Do",Spieltage!$B$21,IF(B24="Fr",Spieltage!$B$22,"")))))</f>
        <v>41540</v>
      </c>
      <c r="B24" t="str">
        <f>VLOOKUP(10,Bezirkslno,3,FALSE)</f>
        <v>Mo</v>
      </c>
      <c r="C24" s="19">
        <f>VLOOKUP(10,Bezirkslno,4,FALSE)</f>
        <v>0.8125</v>
      </c>
      <c r="D24" t="str">
        <f>VLOOKUP(10,Bezirkslno,2,FALSE)</f>
        <v>DJK Schiffweiler</v>
      </c>
      <c r="E24" s="18" t="s">
        <v>35</v>
      </c>
      <c r="F24" t="str">
        <f>VLOOKUP(7,Bezirkslno,2,FALSE)</f>
        <v>DJK Dudweiler 3</v>
      </c>
      <c r="G24" s="17">
        <f>IF(H24="Mo",Spieltage!$F$18,IF(H24="Di",Spieltage!$F$19,IF(H24="Mi",Spieltage!$F$20,IF(H24="Do",Spieltage!$F$21,IF(H24="Fr",Spieltage!$F$22,"")))))</f>
        <v>41670</v>
      </c>
      <c r="H24" t="str">
        <f>VLOOKUP(7,Bezirkslno,3,FALSE)</f>
        <v>Fr</v>
      </c>
      <c r="I24" s="19">
        <f>VLOOKUP(7,Bezirkslno,4,FALSE)</f>
        <v>0.8125</v>
      </c>
    </row>
    <row r="26" spans="1:9" ht="12.75">
      <c r="A26" s="17">
        <f>IF(B26="Mo",Spieltage!$B$23,IF(B26="Di",Spieltage!$B$24,IF(B26="Mi",Spieltage!$B$25,IF(B26="Do",Spieltage!$B$26,IF(B26="Fr",Spieltage!$B$27,"")))))</f>
        <v>41558</v>
      </c>
      <c r="B26" t="str">
        <f>VLOOKUP(1,Bezirkslno,3,FALSE)</f>
        <v>Fr</v>
      </c>
      <c r="C26" s="19">
        <f>VLOOKUP(1,Bezirkslno,4,FALSE)</f>
        <v>0.8125</v>
      </c>
      <c r="D26" t="str">
        <f>VLOOKUP(1,Bezirkslno,2,FALSE)</f>
        <v>TTG Rohrbach-St. Ingbert</v>
      </c>
      <c r="E26" s="18" t="s">
        <v>35</v>
      </c>
      <c r="F26" t="str">
        <f>VLOOKUP(6,Bezirkslno,2,FALSE)</f>
        <v>TTG Holz-Wahlschied </v>
      </c>
      <c r="G26" s="17">
        <f>IF(H26="Mo",Spieltage!$F$23,IF(H26="Di",Spieltage!$F$24,IF(H26="Mi",Spieltage!$F$25,IF(H26="Do",Spieltage!$F$26,IF(H26="Fr",Spieltage!$F$27,"")))))</f>
        <v>41674</v>
      </c>
      <c r="H26" t="str">
        <f>VLOOKUP(6,Bezirkslno,3,FALSE)</f>
        <v>Di</v>
      </c>
      <c r="I26" s="19">
        <f>VLOOKUP(6,Bezirkslno,4,FALSE)</f>
        <v>0.8125</v>
      </c>
    </row>
    <row r="27" spans="1:9" ht="12.75">
      <c r="A27" s="17">
        <f>IF(B27="Mo",Spieltage!$B$23,IF(B27="Di",Spieltage!$B$24,IF(B27="Mi",Spieltage!$B$25,IF(B27="Do",Spieltage!$B$26,IF(B27="Fr",Spieltage!$B$27,"")))))</f>
        <v>41554</v>
      </c>
      <c r="B27" t="str">
        <f>VLOOKUP(2,Bezirkslno,3,FALSE)</f>
        <v>Mo</v>
      </c>
      <c r="C27" s="19">
        <f>VLOOKUP(2,Bezirkslno,4,FALSE)</f>
        <v>0.7916666666666666</v>
      </c>
      <c r="D27" t="str">
        <f>VLOOKUP(2,Bezirkslno,2,FALSE)</f>
        <v>TTG Marpingen-Alsweiler </v>
      </c>
      <c r="E27" s="18" t="s">
        <v>35</v>
      </c>
      <c r="F27" t="str">
        <f>VLOOKUP(3,Bezirkslno,2,FALSE)</f>
        <v>TTC Neuweiler </v>
      </c>
      <c r="G27" s="17">
        <f>IF(H27="Mo",Spieltage!$F$23,IF(H27="Di",Spieltage!$F$24,IF(H27="Mi",Spieltage!$F$25,IF(H27="Do",Spieltage!$F$26,IF(H27="Fr",Spieltage!$F$27,"")))))</f>
        <v>41676</v>
      </c>
      <c r="H27" t="str">
        <f>VLOOKUP(3,Bezirkslno,3,FALSE)</f>
        <v>Do</v>
      </c>
      <c r="I27" s="19">
        <f>VLOOKUP(3,Bezirkslno,4,FALSE)</f>
        <v>0.8125</v>
      </c>
    </row>
    <row r="28" spans="1:9" ht="12.75">
      <c r="A28" s="17">
        <f>IF(B28="Mo",Spieltage!$B$23,IF(B28="Di",Spieltage!$B$24,IF(B28="Mi",Spieltage!$B$25,IF(B28="Do",Spieltage!$B$26,IF(B28="Fr",Spieltage!$B$27,"")))))</f>
        <v>41558</v>
      </c>
      <c r="B28" t="str">
        <f>VLOOKUP(7,Bezirkslno,3,FALSE)</f>
        <v>Fr</v>
      </c>
      <c r="C28" s="19">
        <f>VLOOKUP(7,Bezirkslno,4,FALSE)</f>
        <v>0.8125</v>
      </c>
      <c r="D28" t="str">
        <f>VLOOKUP(7,Bezirkslno,2,FALSE)</f>
        <v>DJK Dudweiler 3</v>
      </c>
      <c r="E28" s="18" t="s">
        <v>35</v>
      </c>
      <c r="F28" t="str">
        <f>VLOOKUP(5,Bezirkslno,2,FALSE)</f>
        <v>DJK Bildstock </v>
      </c>
      <c r="G28" s="17">
        <f>IF(H28="Mo",Spieltage!$F$23,IF(H28="Di",Spieltage!$F$24,IF(H28="Mi",Spieltage!$F$25,IF(H28="Do",Spieltage!$F$26,IF(H28="Fr",Spieltage!$F$27,"")))))</f>
        <v>41676</v>
      </c>
      <c r="H28" t="str">
        <f>VLOOKUP(5,Bezirkslno,3,FALSE)</f>
        <v>Do</v>
      </c>
      <c r="I28" s="19">
        <f>VLOOKUP(5,Bezirkslno,4,FALSE)</f>
        <v>0.8125</v>
      </c>
    </row>
    <row r="29" spans="1:9" ht="12.75">
      <c r="A29" s="17">
        <f>IF(B29="Mo",Spieltage!$B$23,IF(B29="Di",Spieltage!$B$24,IF(B29="Mi",Spieltage!$B$25,IF(B29="Do",Spieltage!$B$26,IF(B29="Fr",Spieltage!$B$27,"")))))</f>
        <v>41557</v>
      </c>
      <c r="B29" t="str">
        <f>VLOOKUP(8,Bezirkslno,3,FALSE)</f>
        <v>Do</v>
      </c>
      <c r="C29" s="19">
        <f>VLOOKUP(8,Bezirkslno,4,FALSE)</f>
        <v>0.8125</v>
      </c>
      <c r="D29" t="str">
        <f>VLOOKUP(8,Bezirkslno,2,FALSE)</f>
        <v>TTC Lebach</v>
      </c>
      <c r="E29" s="18" t="s">
        <v>35</v>
      </c>
      <c r="F29" t="str">
        <f>VLOOKUP(10,Bezirkslno,2,FALSE)</f>
        <v>DJK Schiffweiler</v>
      </c>
      <c r="G29" s="17">
        <f>IF(H29="Mo",Spieltage!$F$23,IF(H29="Di",Spieltage!$F$24,IF(H29="Mi",Spieltage!$F$25,IF(H29="Do",Spieltage!$F$26,IF(H29="Fr",Spieltage!$F$27,"")))))</f>
        <v>41673</v>
      </c>
      <c r="H29" t="str">
        <f>VLOOKUP(10,Bezirkslno,3,FALSE)</f>
        <v>Mo</v>
      </c>
      <c r="I29" s="19">
        <f>VLOOKUP(10,Bezirkslno,4,FALSE)</f>
        <v>0.8125</v>
      </c>
    </row>
    <row r="30" spans="1:9" ht="12.75">
      <c r="A30" s="17">
        <f>IF(B30="Mo",Spieltage!$B$23,IF(B30="Di",Spieltage!$B$24,IF(B30="Mi",Spieltage!$B$25,IF(B30="Do",Spieltage!$B$26,IF(B30="Fr",Spieltage!$B$27,"")))))</f>
        <v>41556</v>
      </c>
      <c r="B30" t="str">
        <f>VLOOKUP(9,Bezirkslno,3,FALSE)</f>
        <v>Mi</v>
      </c>
      <c r="C30" s="19">
        <f>VLOOKUP(9,Bezirkslno,4,FALSE)</f>
        <v>0.8125</v>
      </c>
      <c r="D30" t="str">
        <f>VLOOKUP(9,Bezirkslno,2,FALSE)</f>
        <v>TuS Neunkirchen</v>
      </c>
      <c r="E30" s="18" t="s">
        <v>35</v>
      </c>
      <c r="F30" t="str">
        <f>VLOOKUP(4,Bezirkslno,2,FALSE)</f>
        <v>SG TTG Neunkirchen/Landsw.-Reden</v>
      </c>
      <c r="G30" s="17">
        <f>IF(H30="Mo",Spieltage!$F$23,IF(H30="Di",Spieltage!$F$24,IF(H30="Mi",Spieltage!$F$25,IF(H30="Do",Spieltage!$F$26,IF(H30="Fr",Spieltage!$F$27,"")))))</f>
        <v>41673</v>
      </c>
      <c r="H30" t="str">
        <f>VLOOKUP(4,Bezirkslno,3,FALSE)</f>
        <v>Mo</v>
      </c>
      <c r="I30" s="19">
        <f>VLOOKUP(4,Bezirkslno,4,FALSE)</f>
        <v>0.8333333333333334</v>
      </c>
    </row>
    <row r="32" spans="1:9" ht="12.75">
      <c r="A32" s="17">
        <f>IF(B32="Mo",Spieltage!$B$28,IF(B32="Di",Spieltage!$B$29,IF(B32="Mi",Spieltage!$B$30,IF(B32="Do",Spieltage!$B$31,IF(B32="Fr",Spieltage!$B$32,"")))))</f>
        <v>41564</v>
      </c>
      <c r="B32" t="str">
        <f>VLOOKUP(3,Bezirkslno,3,FALSE)</f>
        <v>Do</v>
      </c>
      <c r="C32" s="19">
        <f>VLOOKUP(3,Bezirkslno,4,FALSE)</f>
        <v>0.8125</v>
      </c>
      <c r="D32" t="str">
        <f>VLOOKUP(3,Bezirkslno,2,FALSE)</f>
        <v>TTC Neuweiler </v>
      </c>
      <c r="E32" s="18" t="s">
        <v>35</v>
      </c>
      <c r="F32" t="str">
        <f>VLOOKUP(8,Bezirkslno,2,FALSE)</f>
        <v>TTC Lebach</v>
      </c>
      <c r="G32" s="17">
        <f>IF(H32="Mo",Spieltage!$F$28,IF(H32="Di",Spieltage!$F$29,IF(H32="Mi",Spieltage!$F$30,IF(H32="Do",Spieltage!$F$31,IF(H32="Fr",Spieltage!$F$32,"")))))</f>
        <v>41683</v>
      </c>
      <c r="H32" t="str">
        <f>VLOOKUP(8,Bezirkslno,3,FALSE)</f>
        <v>Do</v>
      </c>
      <c r="I32" s="19">
        <f>VLOOKUP(8,Bezirkslno,4,FALSE)</f>
        <v>0.8125</v>
      </c>
    </row>
    <row r="33" spans="1:9" ht="12.75">
      <c r="A33" s="17">
        <f>IF(B33="Mo",Spieltage!$B$28,IF(B33="Di",Spieltage!$B$29,IF(B33="Mi",Spieltage!$B$30,IF(B33="Do",Spieltage!$B$31,IF(B33="Fr",Spieltage!$B$32,"")))))</f>
        <v>41561</v>
      </c>
      <c r="B33" t="str">
        <f>VLOOKUP(4,Bezirkslno,3,FALSE)</f>
        <v>Mo</v>
      </c>
      <c r="C33" s="19">
        <f>VLOOKUP(4,Bezirkslno,4,FALSE)</f>
        <v>0.8333333333333334</v>
      </c>
      <c r="D33" t="str">
        <f>VLOOKUP(4,Bezirkslno,2,FALSE)</f>
        <v>SG TTG Neunkirchen/Landsw.-Reden</v>
      </c>
      <c r="E33" s="18" t="s">
        <v>35</v>
      </c>
      <c r="F33" t="str">
        <f>VLOOKUP(2,Bezirkslno,2,FALSE)</f>
        <v>TTG Marpingen-Alsweiler </v>
      </c>
      <c r="G33" s="17">
        <f>IF(H33="Mo",Spieltage!$F$28,IF(H33="Di",Spieltage!$F$29,IF(H33="Mi",Spieltage!$F$30,IF(H33="Do",Spieltage!$F$31,IF(H33="Fr",Spieltage!$F$32,"")))))</f>
        <v>41680</v>
      </c>
      <c r="H33" t="str">
        <f>VLOOKUP(2,Bezirkslno,3,FALSE)</f>
        <v>Mo</v>
      </c>
      <c r="I33" s="19">
        <f>VLOOKUP(2,Bezirkslno,4,FALSE)</f>
        <v>0.7916666666666666</v>
      </c>
    </row>
    <row r="34" spans="1:9" ht="12.75">
      <c r="A34" s="17">
        <f>IF(B34="Mo",Spieltage!$B$28,IF(B34="Di",Spieltage!$B$29,IF(B34="Mi",Spieltage!$B$30,IF(B34="Do",Spieltage!$B$31,IF(B34="Fr",Spieltage!$B$32,"")))))</f>
        <v>41564</v>
      </c>
      <c r="B34" t="str">
        <f>VLOOKUP(5,Bezirkslno,3,FALSE)</f>
        <v>Do</v>
      </c>
      <c r="C34" s="19">
        <f>VLOOKUP(5,Bezirkslno,4,FALSE)</f>
        <v>0.8125</v>
      </c>
      <c r="D34" t="str">
        <f>VLOOKUP(5,Bezirkslno,2,FALSE)</f>
        <v>DJK Bildstock </v>
      </c>
      <c r="E34" s="18" t="s">
        <v>35</v>
      </c>
      <c r="F34" t="str">
        <f>VLOOKUP(9,Bezirkslno,2,FALSE)</f>
        <v>TuS Neunkirchen</v>
      </c>
      <c r="G34" s="17">
        <f>IF(H34="Mo",Spieltage!$F$28,IF(H34="Di",Spieltage!$F$29,IF(H34="Mi",Spieltage!$F$30,IF(H34="Do",Spieltage!$F$31,IF(H34="Fr",Spieltage!$F$32,"")))))</f>
        <v>41682</v>
      </c>
      <c r="H34" t="str">
        <f>VLOOKUP(9,Bezirkslno,3,FALSE)</f>
        <v>Mi</v>
      </c>
      <c r="I34" s="19">
        <f>VLOOKUP(9,Bezirkslno,4,FALSE)</f>
        <v>0.8125</v>
      </c>
    </row>
    <row r="35" spans="1:9" ht="12.75">
      <c r="A35" s="17">
        <f>IF(B35="Mo",Spieltage!$B$28,IF(B35="Di",Spieltage!$B$29,IF(B35="Mi",Spieltage!$B$30,IF(B35="Do",Spieltage!$B$31,IF(B35="Fr",Spieltage!$B$32,"")))))</f>
        <v>41562</v>
      </c>
      <c r="B35" t="str">
        <f>VLOOKUP(6,Bezirkslno,3,FALSE)</f>
        <v>Di</v>
      </c>
      <c r="C35" s="19">
        <f>VLOOKUP(6,Bezirkslno,4,FALSE)</f>
        <v>0.8125</v>
      </c>
      <c r="D35" t="str">
        <f>VLOOKUP(6,Bezirkslno,2,FALSE)</f>
        <v>TTG Holz-Wahlschied </v>
      </c>
      <c r="E35" s="18" t="s">
        <v>35</v>
      </c>
      <c r="F35" t="str">
        <f>VLOOKUP(7,Bezirkslno,2,FALSE)</f>
        <v>DJK Dudweiler 3</v>
      </c>
      <c r="G35" s="17">
        <f>IF(H35="Mo",Spieltage!$F$28,IF(H35="Di",Spieltage!$F$29,IF(H35="Mi",Spieltage!$F$30,IF(H35="Do",Spieltage!$F$31,IF(H35="Fr",Spieltage!$F$32,"")))))</f>
        <v>41684</v>
      </c>
      <c r="H35" t="str">
        <f>VLOOKUP(7,Bezirkslno,3,FALSE)</f>
        <v>Fr</v>
      </c>
      <c r="I35" s="19">
        <f>VLOOKUP(7,Bezirkslno,4,FALSE)</f>
        <v>0.8125</v>
      </c>
    </row>
    <row r="36" spans="1:9" ht="12.75">
      <c r="A36" s="17">
        <f>IF(B36="Mo",Spieltage!$B$28,IF(B36="Di",Spieltage!$B$29,IF(B36="Mi",Spieltage!$B$30,IF(B36="Do",Spieltage!$B$31,IF(B36="Fr",Spieltage!$B$32,"")))))</f>
        <v>41561</v>
      </c>
      <c r="B36" t="str">
        <f>VLOOKUP(10,Bezirkslno,3,FALSE)</f>
        <v>Mo</v>
      </c>
      <c r="C36" s="19">
        <f>VLOOKUP(10,Bezirkslno,4,FALSE)</f>
        <v>0.8125</v>
      </c>
      <c r="D36" t="str">
        <f>VLOOKUP(10,Bezirkslno,2,FALSE)</f>
        <v>DJK Schiffweiler</v>
      </c>
      <c r="E36" s="18" t="s">
        <v>35</v>
      </c>
      <c r="F36" t="str">
        <f>VLOOKUP(1,Bezirkslno,2,FALSE)</f>
        <v>TTG Rohrbach-St. Ingbert</v>
      </c>
      <c r="G36" s="17">
        <f>IF(H36="Mo",Spieltage!$F$28,IF(H36="Di",Spieltage!$F$29,IF(H36="Mi",Spieltage!$F$30,IF(H36="Do",Spieltage!$F$31,IF(H36="Fr",Spieltage!$F$32,"")))))</f>
        <v>41684</v>
      </c>
      <c r="H36" t="str">
        <f>VLOOKUP(1,Bezirkslno,3,FALSE)</f>
        <v>Fr</v>
      </c>
      <c r="I36" s="19">
        <f>VLOOKUP(1,Bezirkslno,4,FALSE)</f>
        <v>0.8125</v>
      </c>
    </row>
    <row r="38" spans="1:9" ht="12.75">
      <c r="A38" s="17">
        <f>IF(B38="Mo",Spieltage!$B$33,IF(B38="Di",Spieltage!$B$34,IF(B38="Mi",Spieltage!$B$35,IF(B38="Do",Spieltage!$B$36,IF(B38="Fr",Spieltage!$B$37,"")))))</f>
        <v>41586</v>
      </c>
      <c r="B38" t="str">
        <f>VLOOKUP(1,Bezirkslno,3,FALSE)</f>
        <v>Fr</v>
      </c>
      <c r="C38" s="19">
        <f>VLOOKUP(1,Bezirkslno,4,FALSE)</f>
        <v>0.8125</v>
      </c>
      <c r="D38" t="str">
        <f>VLOOKUP(1,Bezirkslno,2,FALSE)</f>
        <v>TTG Rohrbach-St. Ingbert</v>
      </c>
      <c r="E38" s="18" t="s">
        <v>35</v>
      </c>
      <c r="F38" t="str">
        <f>VLOOKUP(5,Bezirkslno,2,FALSE)</f>
        <v>DJK Bildstock </v>
      </c>
      <c r="G38" s="17">
        <f>IF(H38="Mo",Spieltage!$F$33,IF(H38="Di",Spieltage!$F$34,IF(H38="Mi",Spieltage!$F$35,IF(H38="Do",Spieltage!$F$36,IF(H38="Fr",Spieltage!$F$37,"")))))</f>
        <v>41690</v>
      </c>
      <c r="H38" t="str">
        <f>VLOOKUP(5,Bezirkslno,3,FALSE)</f>
        <v>Do</v>
      </c>
      <c r="I38" s="19">
        <f>VLOOKUP(5,Bezirkslno,4,FALSE)</f>
        <v>0.8125</v>
      </c>
    </row>
    <row r="39" spans="1:9" ht="12.75">
      <c r="A39" s="17">
        <f>IF(B39="Mo",Spieltage!$B$33,IF(B39="Di",Spieltage!$B$34,IF(B39="Mi",Spieltage!$B$35,IF(B39="Do",Spieltage!$B$36,IF(B39="Fr",Spieltage!$B$37,"")))))</f>
        <v>41582</v>
      </c>
      <c r="B39" t="str">
        <f>VLOOKUP(2,Bezirkslno,3,FALSE)</f>
        <v>Mo</v>
      </c>
      <c r="C39" s="19">
        <f>VLOOKUP(2,Bezirkslno,4,FALSE)</f>
        <v>0.7916666666666666</v>
      </c>
      <c r="D39" t="str">
        <f>VLOOKUP(2,Bezirkslno,2,FALSE)</f>
        <v>TTG Marpingen-Alsweiler </v>
      </c>
      <c r="E39" s="18" t="s">
        <v>35</v>
      </c>
      <c r="F39" t="str">
        <f>VLOOKUP(10,Bezirkslno,2,FALSE)</f>
        <v>DJK Schiffweiler</v>
      </c>
      <c r="G39" s="17">
        <f>IF(H39="Mo",Spieltage!$F$33,IF(H39="Di",Spieltage!$F$34,IF(H39="Mi",Spieltage!$F$35,IF(H39="Do",Spieltage!$F$36,IF(H39="Fr",Spieltage!$F$37,"")))))</f>
        <v>41687</v>
      </c>
      <c r="H39" t="str">
        <f>VLOOKUP(10,Bezirkslno,3,FALSE)</f>
        <v>Mo</v>
      </c>
      <c r="I39" s="19">
        <f>VLOOKUP(10,Bezirkslno,4,FALSE)</f>
        <v>0.8125</v>
      </c>
    </row>
    <row r="40" spans="1:9" ht="12.75">
      <c r="A40" s="17">
        <f>IF(B40="Mo",Spieltage!$B$33,IF(B40="Di",Spieltage!$B$34,IF(B40="Mi",Spieltage!$B$35,IF(B40="Do",Spieltage!$B$36,IF(B40="Fr",Spieltage!$B$37,"")))))</f>
        <v>41585</v>
      </c>
      <c r="B40" t="str">
        <f>VLOOKUP(3,Bezirkslno,3,FALSE)</f>
        <v>Do</v>
      </c>
      <c r="C40" s="19">
        <f>VLOOKUP(3,Bezirkslno,4,FALSE)</f>
        <v>0.8125</v>
      </c>
      <c r="D40" t="str">
        <f>VLOOKUP(3,Bezirkslno,2,FALSE)</f>
        <v>TTC Neuweiler </v>
      </c>
      <c r="E40" s="18" t="s">
        <v>35</v>
      </c>
      <c r="F40" t="str">
        <f>VLOOKUP(4,Bezirkslno,2,FALSE)</f>
        <v>SG TTG Neunkirchen/Landsw.-Reden</v>
      </c>
      <c r="G40" s="17">
        <f>IF(H40="Mo",Spieltage!$F$33,IF(H40="Di",Spieltage!$F$34,IF(H40="Mi",Spieltage!$F$35,IF(H40="Do",Spieltage!$F$36,IF(H40="Fr",Spieltage!$F$37,"")))))</f>
        <v>41687</v>
      </c>
      <c r="H40" t="str">
        <f>VLOOKUP(4,Bezirkslno,3,FALSE)</f>
        <v>Mo</v>
      </c>
      <c r="I40" s="19">
        <f>VLOOKUP(4,Bezirkslno,4,FALSE)</f>
        <v>0.8333333333333334</v>
      </c>
    </row>
    <row r="41" spans="1:9" ht="12.75">
      <c r="A41" s="17">
        <f>IF(B41="Mo",Spieltage!$B$33,IF(B41="Di",Spieltage!$B$34,IF(B41="Mi",Spieltage!$B$35,IF(B41="Do",Spieltage!$B$36,IF(B41="Fr",Spieltage!$B$37,"")))))</f>
        <v>41585</v>
      </c>
      <c r="B41" t="str">
        <f>VLOOKUP(8,Bezirkslno,3,FALSE)</f>
        <v>Do</v>
      </c>
      <c r="C41" s="19">
        <f>VLOOKUP(8,Bezirkslno,4,FALSE)</f>
        <v>0.8125</v>
      </c>
      <c r="D41" t="str">
        <f>VLOOKUP(8,Bezirkslno,2,FALSE)</f>
        <v>TTC Lebach</v>
      </c>
      <c r="E41" s="18" t="s">
        <v>35</v>
      </c>
      <c r="F41" t="str">
        <f>VLOOKUP(7,Bezirkslno,2,FALSE)</f>
        <v>DJK Dudweiler 3</v>
      </c>
      <c r="G41" s="17">
        <f>IF(H41="Mo",Spieltage!$F$33,IF(H41="Di",Spieltage!$F$34,IF(H41="Mi",Spieltage!$F$35,IF(H41="Do",Spieltage!$F$36,IF(H41="Fr",Spieltage!$F$37,"")))))</f>
        <v>41691</v>
      </c>
      <c r="H41" t="str">
        <f>VLOOKUP(7,Bezirkslno,3,FALSE)</f>
        <v>Fr</v>
      </c>
      <c r="I41" s="19">
        <f>VLOOKUP(7,Bezirkslno,4,FALSE)</f>
        <v>0.8125</v>
      </c>
    </row>
    <row r="42" spans="1:9" ht="12.75">
      <c r="A42" s="17">
        <f>IF(B42="Mo",Spieltage!$B$33,IF(B42="Di",Spieltage!$B$34,IF(B42="Mi",Spieltage!$B$35,IF(B42="Do",Spieltage!$B$36,IF(B42="Fr",Spieltage!$B$37,"")))))</f>
        <v>41584</v>
      </c>
      <c r="B42" t="str">
        <f>VLOOKUP(9,Bezirkslno,3,FALSE)</f>
        <v>Mi</v>
      </c>
      <c r="C42" s="19">
        <f>VLOOKUP(9,Bezirkslno,4,FALSE)</f>
        <v>0.8125</v>
      </c>
      <c r="D42" t="str">
        <f>VLOOKUP(9,Bezirkslno,2,FALSE)</f>
        <v>TuS Neunkirchen</v>
      </c>
      <c r="E42" s="18" t="s">
        <v>35</v>
      </c>
      <c r="F42" t="str">
        <f>VLOOKUP(6,Bezirkslno,2,FALSE)</f>
        <v>TTG Holz-Wahlschied </v>
      </c>
      <c r="G42" s="17">
        <f>IF(H42="Mo",Spieltage!$F$33,IF(H42="Di",Spieltage!$F$34,IF(H42="Mi",Spieltage!$F$35,IF(H42="Do",Spieltage!$F$36,IF(H42="Fr",Spieltage!$F$37,"")))))</f>
        <v>41688</v>
      </c>
      <c r="H42" t="str">
        <f>VLOOKUP(6,Bezirkslno,3,FALSE)</f>
        <v>Di</v>
      </c>
      <c r="I42" s="19">
        <f>VLOOKUP(6,Bezirkslno,4,FALSE)</f>
        <v>0.8125</v>
      </c>
    </row>
    <row r="44" spans="1:9" ht="12.75">
      <c r="A44" s="17">
        <f>IF(B44="Mo",Spieltage!$B$38,IF(B44="Di",Spieltage!$B$39,IF(B44="Mi",Spieltage!$B$40,IF(B44="Do",Spieltage!$B$41,IF(B44="Fr",Spieltage!$B$42,"")))))</f>
        <v>41589</v>
      </c>
      <c r="B44" t="str">
        <f>VLOOKUP(4,Bezirkslno,3,FALSE)</f>
        <v>Mo</v>
      </c>
      <c r="C44" s="19">
        <f>VLOOKUP(4,Bezirkslno,4,FALSE)</f>
        <v>0.8333333333333334</v>
      </c>
      <c r="D44" t="str">
        <f>VLOOKUP(4,Bezirkslno,2,FALSE)</f>
        <v>SG TTG Neunkirchen/Landsw.-Reden</v>
      </c>
      <c r="E44" s="18" t="s">
        <v>35</v>
      </c>
      <c r="F44" t="str">
        <f>VLOOKUP(1,Bezirkslno,2,FALSE)</f>
        <v>TTG Rohrbach-St. Ingbert</v>
      </c>
      <c r="G44" s="17">
        <f>IF(H44="Mo",Spieltage!$F$38,IF(H44="Di",Spieltage!$F$39,IF(H44="Mi",Spieltage!$F$40,IF(H44="Do",Spieltage!$F$41,IF(H44="Fr",Spieltage!$F$42,"")))))</f>
        <v>41712</v>
      </c>
      <c r="H44" t="str">
        <f>VLOOKUP(1,Bezirkslno,3,FALSE)</f>
        <v>Fr</v>
      </c>
      <c r="I44" s="19">
        <f>VLOOKUP(1,Bezirkslno,4,FALSE)</f>
        <v>0.8125</v>
      </c>
    </row>
    <row r="45" spans="1:9" ht="12.75">
      <c r="A45" s="17">
        <f>IF(B45="Mo",Spieltage!$B$38,IF(B45="Di",Spieltage!$B$39,IF(B45="Mi",Spieltage!$B$40,IF(B45="Do",Spieltage!$B$41,IF(B45="Fr",Spieltage!$B$42,"")))))</f>
        <v>41592</v>
      </c>
      <c r="B45" t="str">
        <f>VLOOKUP(5,Bezirkslno,3,FALSE)</f>
        <v>Do</v>
      </c>
      <c r="C45" s="19">
        <f>VLOOKUP(5,Bezirkslno,4,FALSE)</f>
        <v>0.8125</v>
      </c>
      <c r="D45" t="str">
        <f>VLOOKUP(5,Bezirkslno,2,FALSE)</f>
        <v>DJK Bildstock </v>
      </c>
      <c r="E45" s="18" t="s">
        <v>35</v>
      </c>
      <c r="F45" t="str">
        <f>VLOOKUP(2,Bezirkslno,2,FALSE)</f>
        <v>TTG Marpingen-Alsweiler </v>
      </c>
      <c r="G45" s="17">
        <f>IF(H45="Mo",Spieltage!$F$38,IF(H45="Di",Spieltage!$F$39,IF(H45="Mi",Spieltage!$F$40,IF(H45="Do",Spieltage!$F$41,IF(H45="Fr",Spieltage!$F$42,"")))))</f>
        <v>41708</v>
      </c>
      <c r="H45" t="str">
        <f>VLOOKUP(2,Bezirkslno,3,FALSE)</f>
        <v>Mo</v>
      </c>
      <c r="I45" s="19">
        <f>VLOOKUP(2,Bezirkslno,4,FALSE)</f>
        <v>0.7916666666666666</v>
      </c>
    </row>
    <row r="46" spans="1:9" ht="12.75">
      <c r="A46" s="17">
        <f>IF(B46="Mo",Spieltage!$B$38,IF(B46="Di",Spieltage!$B$39,IF(B46="Mi",Spieltage!$B$40,IF(B46="Do",Spieltage!$B$41,IF(B46="Fr",Spieltage!$B$42,"")))))</f>
        <v>41590</v>
      </c>
      <c r="B46" t="str">
        <f>VLOOKUP(6,Bezirkslno,3,FALSE)</f>
        <v>Di</v>
      </c>
      <c r="C46" s="19">
        <f>VLOOKUP(6,Bezirkslno,4,FALSE)</f>
        <v>0.8125</v>
      </c>
      <c r="D46" t="str">
        <f>VLOOKUP(6,Bezirkslno,2,FALSE)</f>
        <v>TTG Holz-Wahlschied </v>
      </c>
      <c r="E46" s="18" t="s">
        <v>35</v>
      </c>
      <c r="F46" t="str">
        <f>VLOOKUP(8,Bezirkslno,2,FALSE)</f>
        <v>TTC Lebach</v>
      </c>
      <c r="G46" s="17">
        <f>IF(H46="Mo",Spieltage!$F$38,IF(H46="Di",Spieltage!$F$39,IF(H46="Mi",Spieltage!$F$40,IF(H46="Do",Spieltage!$F$41,IF(H46="Fr",Spieltage!$F$42,"")))))</f>
        <v>41711</v>
      </c>
      <c r="H46" t="str">
        <f>VLOOKUP(8,Bezirkslno,3,FALSE)</f>
        <v>Do</v>
      </c>
      <c r="I46" s="19">
        <f>VLOOKUP(8,Bezirkslno,4,FALSE)</f>
        <v>0.8125</v>
      </c>
    </row>
    <row r="47" spans="1:9" ht="12.75">
      <c r="A47" s="17">
        <f>IF(B47="Mo",Spieltage!$B$38,IF(B47="Di",Spieltage!$B$39,IF(B47="Mi",Spieltage!$B$40,IF(B47="Do",Spieltage!$B$41,IF(B47="Fr",Spieltage!$B$42,"")))))</f>
        <v>41593</v>
      </c>
      <c r="B47" t="str">
        <f>VLOOKUP(7,Bezirkslno,3,FALSE)</f>
        <v>Fr</v>
      </c>
      <c r="C47" s="19">
        <f>VLOOKUP(7,Bezirkslno,4,FALSE)</f>
        <v>0.8125</v>
      </c>
      <c r="D47" t="str">
        <f>VLOOKUP(7,Bezirkslno,2,FALSE)</f>
        <v>DJK Dudweiler 3</v>
      </c>
      <c r="E47" s="18" t="s">
        <v>35</v>
      </c>
      <c r="F47" t="str">
        <f>VLOOKUP(9,Bezirkslno,2,FALSE)</f>
        <v>TuS Neunkirchen</v>
      </c>
      <c r="G47" s="17">
        <f>IF(H47="Mo",Spieltage!$F$38,IF(H47="Di",Spieltage!$F$39,IF(H47="Mi",Spieltage!$F$40,IF(H47="Do",Spieltage!$F$41,IF(H47="Fr",Spieltage!$F$42,"")))))</f>
        <v>41710</v>
      </c>
      <c r="H47" t="str">
        <f>VLOOKUP(9,Bezirkslno,3,FALSE)</f>
        <v>Mi</v>
      </c>
      <c r="I47" s="19">
        <f>VLOOKUP(9,Bezirkslno,4,FALSE)</f>
        <v>0.8125</v>
      </c>
    </row>
    <row r="48" spans="1:9" ht="12.75">
      <c r="A48" s="17">
        <f>IF(B48="Mo",Spieltage!$B$38,IF(B48="Di",Spieltage!$B$39,IF(B48="Mi",Spieltage!$B$40,IF(B48="Do",Spieltage!$B$41,IF(B48="Fr",Spieltage!$B$42,"")))))</f>
        <v>41589</v>
      </c>
      <c r="B48" t="str">
        <f>VLOOKUP(10,Bezirkslno,3,FALSE)</f>
        <v>Mo</v>
      </c>
      <c r="C48" s="19">
        <f>VLOOKUP(10,Bezirkslno,4,FALSE)</f>
        <v>0.8125</v>
      </c>
      <c r="D48" t="str">
        <f>VLOOKUP(10,Bezirkslno,2,FALSE)</f>
        <v>DJK Schiffweiler</v>
      </c>
      <c r="E48" s="18" t="s">
        <v>35</v>
      </c>
      <c r="F48" t="str">
        <f>VLOOKUP(3,Bezirkslno,2,FALSE)</f>
        <v>TTC Neuweiler </v>
      </c>
      <c r="G48" s="17">
        <f>IF(H48="Mo",Spieltage!$F$38,IF(H48="Di",Spieltage!$F$39,IF(H48="Mi",Spieltage!$F$40,IF(H48="Do",Spieltage!$F$41,IF(H48="Fr",Spieltage!$F$42,"")))))</f>
        <v>41711</v>
      </c>
      <c r="H48" t="str">
        <f>VLOOKUP(3,Bezirkslno,3,FALSE)</f>
        <v>Do</v>
      </c>
      <c r="I48" s="19">
        <f>VLOOKUP(3,Bezirkslno,4,FALSE)</f>
        <v>0.8125</v>
      </c>
    </row>
    <row r="50" spans="1:9" ht="12.75">
      <c r="A50" s="17">
        <f>IF(B50="Mo",Spieltage!$B$43,IF(B50="Di",Spieltage!$B$44,IF(B50="Mi",Spieltage!$B$45,IF(B50="Do",Spieltage!$B$46,IF(B50="Fr",Spieltage!$B$47,"")))))</f>
        <v>40876</v>
      </c>
      <c r="B50" t="str">
        <f>VLOOKUP(1,Bezirkslno,3,FALSE)</f>
        <v>Fr</v>
      </c>
      <c r="C50" s="19">
        <f>VLOOKUP(1,Bezirkslno,4,FALSE)</f>
        <v>0.8125</v>
      </c>
      <c r="D50" t="str">
        <f>VLOOKUP(1,Bezirkslno,2,FALSE)</f>
        <v>TTG Rohrbach-St. Ingbert</v>
      </c>
      <c r="E50" s="18" t="s">
        <v>35</v>
      </c>
      <c r="F50" t="str">
        <f>VLOOKUP(7,Bezirkslno,2,FALSE)</f>
        <v>DJK Dudweiler 3</v>
      </c>
      <c r="G50" s="17">
        <f>IF(H50="Mo",Spieltage!$F$43,IF(H50="Di",Spieltage!$F$44,IF(H50="Mi",Spieltage!$F$45,IF(H50="Do",Spieltage!$F$46,IF(H50="Fr",Spieltage!$F$47,"")))))</f>
        <v>41726</v>
      </c>
      <c r="H50" t="str">
        <f>VLOOKUP(7,Bezirkslno,3,FALSE)</f>
        <v>Fr</v>
      </c>
      <c r="I50" s="19">
        <f>VLOOKUP(7,Bezirkslno,4,FALSE)</f>
        <v>0.8125</v>
      </c>
    </row>
    <row r="51" spans="1:9" ht="12.75">
      <c r="A51" s="17">
        <f>IF(B51="Mo",Spieltage!$B$43,IF(B51="Di",Spieltage!$B$44,IF(B51="Mi",Spieltage!$B$45,IF(B51="Do",Spieltage!$B$46,IF(B51="Fr",Spieltage!$B$47,"")))))</f>
        <v>40872</v>
      </c>
      <c r="B51" t="str">
        <f>VLOOKUP(2,Bezirkslno,3,FALSE)</f>
        <v>Mo</v>
      </c>
      <c r="C51" s="19">
        <f>VLOOKUP(2,Bezirkslno,4,FALSE)</f>
        <v>0.7916666666666666</v>
      </c>
      <c r="D51" t="str">
        <f>VLOOKUP(2,Bezirkslno,2,FALSE)</f>
        <v>TTG Marpingen-Alsweiler </v>
      </c>
      <c r="E51" s="18" t="s">
        <v>35</v>
      </c>
      <c r="F51" t="str">
        <f>VLOOKUP(6,Bezirkslno,2,FALSE)</f>
        <v>TTG Holz-Wahlschied </v>
      </c>
      <c r="G51" s="17">
        <f>IF(H51="Mo",Spieltage!$F$43,IF(H51="Di",Spieltage!$F$44,IF(H51="Mi",Spieltage!$F$45,IF(H51="Do",Spieltage!$F$46,IF(H51="Fr",Spieltage!$F$47,"")))))</f>
        <v>41723</v>
      </c>
      <c r="H51" t="str">
        <f>VLOOKUP(6,Bezirkslno,3,FALSE)</f>
        <v>Di</v>
      </c>
      <c r="I51" s="19">
        <f>VLOOKUP(6,Bezirkslno,4,FALSE)</f>
        <v>0.8125</v>
      </c>
    </row>
    <row r="52" spans="1:9" ht="12.75">
      <c r="A52" s="17">
        <f>IF(B52="Mo",Spieltage!$B$43,IF(B52="Di",Spieltage!$B$44,IF(B52="Mi",Spieltage!$B$45,IF(B52="Do",Spieltage!$B$46,IF(B52="Fr",Spieltage!$B$47,"")))))</f>
        <v>40875</v>
      </c>
      <c r="B52" t="str">
        <f>VLOOKUP(3,Bezirkslno,3,FALSE)</f>
        <v>Do</v>
      </c>
      <c r="C52" s="19">
        <f>VLOOKUP(3,Bezirkslno,4,FALSE)</f>
        <v>0.8125</v>
      </c>
      <c r="D52" t="str">
        <f>VLOOKUP(3,Bezirkslno,2,FALSE)</f>
        <v>TTC Neuweiler </v>
      </c>
      <c r="E52" s="18" t="s">
        <v>35</v>
      </c>
      <c r="F52" t="str">
        <f>VLOOKUP(5,Bezirkslno,2,FALSE)</f>
        <v>DJK Bildstock </v>
      </c>
      <c r="G52" s="17">
        <f>IF(H52="Mo",Spieltage!$F$43,IF(H52="Di",Spieltage!$F$44,IF(H52="Mi",Spieltage!$F$45,IF(H52="Do",Spieltage!$F$46,IF(H52="Fr",Spieltage!$F$47,"")))))</f>
        <v>41725</v>
      </c>
      <c r="H52" t="str">
        <f>VLOOKUP(5,Bezirkslno,3,FALSE)</f>
        <v>Do</v>
      </c>
      <c r="I52" s="19">
        <f>VLOOKUP(5,Bezirkslno,4,FALSE)</f>
        <v>0.8125</v>
      </c>
    </row>
    <row r="53" spans="1:9" ht="12.75">
      <c r="A53" s="17">
        <f>IF(B53="Mo",Spieltage!$B$43,IF(B53="Di",Spieltage!$B$44,IF(B53="Mi",Spieltage!$B$45,IF(B53="Do",Spieltage!$B$46,IF(B53="Fr",Spieltage!$B$47,"")))))</f>
        <v>40872</v>
      </c>
      <c r="B53" t="str">
        <f>VLOOKUP(4,Bezirkslno,3,FALSE)</f>
        <v>Mo</v>
      </c>
      <c r="C53" s="19">
        <f>VLOOKUP(4,Bezirkslno,4,FALSE)</f>
        <v>0.8333333333333334</v>
      </c>
      <c r="D53" t="str">
        <f>VLOOKUP(4,Bezirkslno,2,FALSE)</f>
        <v>SG TTG Neunkirchen/Landsw.-Reden</v>
      </c>
      <c r="E53" s="18" t="s">
        <v>35</v>
      </c>
      <c r="F53" t="str">
        <f>VLOOKUP(10,Bezirkslno,2,FALSE)</f>
        <v>DJK Schiffweiler</v>
      </c>
      <c r="G53" s="17">
        <f>IF(H53="Mo",Spieltage!$F$43,IF(H53="Di",Spieltage!$F$44,IF(H53="Mi",Spieltage!$F$45,IF(H53="Do",Spieltage!$F$46,IF(H53="Fr",Spieltage!$F$47,"")))))</f>
        <v>41722</v>
      </c>
      <c r="H53" t="str">
        <f>VLOOKUP(10,Bezirkslno,3,FALSE)</f>
        <v>Mo</v>
      </c>
      <c r="I53" s="19">
        <f>VLOOKUP(10,Bezirkslno,4,FALSE)</f>
        <v>0.8125</v>
      </c>
    </row>
    <row r="54" spans="1:9" ht="12.75">
      <c r="A54" s="17">
        <f>IF(B54="Mo",Spieltage!$B$43,IF(B54="Di",Spieltage!$B$44,IF(B54="Mi",Spieltage!$B$45,IF(B54="Do",Spieltage!$B$46,IF(B54="Fr",Spieltage!$B$47,"")))))</f>
        <v>40874</v>
      </c>
      <c r="B54" t="str">
        <f>VLOOKUP(9,Bezirkslno,3,FALSE)</f>
        <v>Mi</v>
      </c>
      <c r="C54" s="19">
        <f>VLOOKUP(9,Bezirkslno,4,FALSE)</f>
        <v>0.8125</v>
      </c>
      <c r="D54" t="str">
        <f>VLOOKUP(9,Bezirkslno,2,FALSE)</f>
        <v>TuS Neunkirchen</v>
      </c>
      <c r="E54" s="18" t="s">
        <v>35</v>
      </c>
      <c r="F54" t="str">
        <f>VLOOKUP(8,Bezirkslno,2,FALSE)</f>
        <v>TTC Lebach</v>
      </c>
      <c r="G54" s="17">
        <f>IF(H54="Mo",Spieltage!$F$43,IF(H54="Di",Spieltage!$F$44,IF(H54="Mi",Spieltage!$F$45,IF(H54="Do",Spieltage!$F$46,IF(H54="Fr",Spieltage!$F$47,"")))))</f>
        <v>41725</v>
      </c>
      <c r="H54" t="str">
        <f>VLOOKUP(8,Bezirkslno,3,FALSE)</f>
        <v>Do</v>
      </c>
      <c r="I54" s="19">
        <f>VLOOKUP(8,Bezirkslno,4,FALSE)</f>
        <v>0.8125</v>
      </c>
    </row>
    <row r="56" spans="1:9" ht="12.75">
      <c r="A56" s="17">
        <f>IF(B56="Mo",Spieltage!$B$48,IF(B56="Di",Spieltage!$B$49,IF(B56="Mi",Spieltage!$B$50,IF(B56="Do",Spieltage!$B$51,IF(B56="Fr",Spieltage!$B$52,"")))))</f>
        <v>41613</v>
      </c>
      <c r="B56" t="str">
        <f>VLOOKUP(5,Bezirkslno,3,FALSE)</f>
        <v>Do</v>
      </c>
      <c r="C56" s="19">
        <f>VLOOKUP(5,Bezirkslno,4,FALSE)</f>
        <v>0.8125</v>
      </c>
      <c r="D56" t="str">
        <f>VLOOKUP(5,Bezirkslno,2,FALSE)</f>
        <v>DJK Bildstock </v>
      </c>
      <c r="E56" s="18" t="s">
        <v>35</v>
      </c>
      <c r="F56" t="str">
        <f>VLOOKUP(4,Bezirkslno,2,FALSE)</f>
        <v>SG TTG Neunkirchen/Landsw.-Reden</v>
      </c>
      <c r="G56" s="17">
        <f>IF(H56="Mo",Spieltage!$F$48,IF(H56="Di",Spieltage!$F$49,IF(H56="Mi",Spieltage!$F$50,IF(H56="Do",Spieltage!$F$51,IF(H56="Fr",Spieltage!$F$52,"")))))</f>
        <v>41729</v>
      </c>
      <c r="H56" t="str">
        <f>VLOOKUP(4,Bezirkslno,3,FALSE)</f>
        <v>Mo</v>
      </c>
      <c r="I56" s="19">
        <f>VLOOKUP(4,Bezirkslno,4,FALSE)</f>
        <v>0.8333333333333334</v>
      </c>
    </row>
    <row r="57" spans="1:9" ht="12.75">
      <c r="A57" s="17">
        <f>IF(B57="Mo",Spieltage!$B$48,IF(B57="Di",Spieltage!$B$49,IF(B57="Mi",Spieltage!$B$50,IF(B57="Do",Spieltage!$B$51,IF(B57="Fr",Spieltage!$B$52,"")))))</f>
        <v>41611</v>
      </c>
      <c r="B57" t="str">
        <f>VLOOKUP(6,Bezirkslno,3,FALSE)</f>
        <v>Di</v>
      </c>
      <c r="C57" s="19">
        <f>VLOOKUP(6,Bezirkslno,4,FALSE)</f>
        <v>0.8125</v>
      </c>
      <c r="D57" t="str">
        <f>VLOOKUP(6,Bezirkslno,2,FALSE)</f>
        <v>TTG Holz-Wahlschied </v>
      </c>
      <c r="E57" s="18" t="s">
        <v>35</v>
      </c>
      <c r="F57" t="str">
        <f>VLOOKUP(3,Bezirkslno,2,FALSE)</f>
        <v>TTC Neuweiler </v>
      </c>
      <c r="G57" s="17">
        <f>IF(H57="Mo",Spieltage!$F$48,IF(H57="Di",Spieltage!$F$49,IF(H57="Mi",Spieltage!$F$50,IF(H57="Do",Spieltage!$F$51,IF(H57="Fr",Spieltage!$F$52,"")))))</f>
        <v>41732</v>
      </c>
      <c r="H57" t="str">
        <f>VLOOKUP(3,Bezirkslno,3,FALSE)</f>
        <v>Do</v>
      </c>
      <c r="I57" s="19">
        <f>VLOOKUP(3,Bezirkslno,4,FALSE)</f>
        <v>0.8125</v>
      </c>
    </row>
    <row r="58" spans="1:9" ht="12.75">
      <c r="A58" s="17">
        <f>IF(B58="Mo",Spieltage!$B$48,IF(B58="Di",Spieltage!$B$49,IF(B58="Mi",Spieltage!$B$50,IF(B58="Do",Spieltage!$B$51,IF(B58="Fr",Spieltage!$B$52,"")))))</f>
        <v>41614</v>
      </c>
      <c r="B58" t="str">
        <f>VLOOKUP(7,Bezirkslno,3,FALSE)</f>
        <v>Fr</v>
      </c>
      <c r="C58" s="19">
        <f>VLOOKUP(7,Bezirkslno,4,FALSE)</f>
        <v>0.8125</v>
      </c>
      <c r="D58" t="str">
        <f>VLOOKUP(7,Bezirkslno,2,FALSE)</f>
        <v>DJK Dudweiler 3</v>
      </c>
      <c r="E58" s="18" t="s">
        <v>35</v>
      </c>
      <c r="F58" t="str">
        <f>VLOOKUP(2,Bezirkslno,2,FALSE)</f>
        <v>TTG Marpingen-Alsweiler </v>
      </c>
      <c r="G58" s="17">
        <f>IF(H58="Mo",Spieltage!$F$48,IF(H58="Di",Spieltage!$F$49,IF(H58="Mi",Spieltage!$F$50,IF(H58="Do",Spieltage!$F$51,IF(H58="Fr",Spieltage!$F$52,"")))))</f>
        <v>41729</v>
      </c>
      <c r="H58" t="str">
        <f>VLOOKUP(2,Bezirkslno,3,FALSE)</f>
        <v>Mo</v>
      </c>
      <c r="I58" s="19">
        <f>VLOOKUP(2,Bezirkslno,4,FALSE)</f>
        <v>0.7916666666666666</v>
      </c>
    </row>
    <row r="59" spans="1:9" ht="12.75">
      <c r="A59" s="17">
        <f>IF(B59="Mo",Spieltage!$B$48,IF(B59="Di",Spieltage!$B$49,IF(B59="Mi",Spieltage!$B$50,IF(B59="Do",Spieltage!$B$51,IF(B59="Fr",Spieltage!$B$52,"")))))</f>
        <v>41613</v>
      </c>
      <c r="B59" t="str">
        <f>VLOOKUP(8,Bezirkslno,3,FALSE)</f>
        <v>Do</v>
      </c>
      <c r="C59" s="19">
        <f>VLOOKUP(8,Bezirkslno,4,FALSE)</f>
        <v>0.8125</v>
      </c>
      <c r="D59" t="str">
        <f>VLOOKUP(8,Bezirkslno,2,FALSE)</f>
        <v>TTC Lebach</v>
      </c>
      <c r="E59" s="18" t="s">
        <v>35</v>
      </c>
      <c r="F59" t="str">
        <f>VLOOKUP(1,Bezirkslno,2,FALSE)</f>
        <v>TTG Rohrbach-St. Ingbert</v>
      </c>
      <c r="G59" s="17">
        <f>IF(H59="Mo",Spieltage!$F$48,IF(H59="Di",Spieltage!$F$49,IF(H59="Mi",Spieltage!$F$50,IF(H59="Do",Spieltage!$F$51,IF(H59="Fr",Spieltage!$F$52,"")))))</f>
        <v>41733</v>
      </c>
      <c r="H59" t="str">
        <f>VLOOKUP(1,Bezirkslno,3,FALSE)</f>
        <v>Fr</v>
      </c>
      <c r="I59" s="19">
        <f>VLOOKUP(1,Bezirkslno,4,FALSE)</f>
        <v>0.8125</v>
      </c>
    </row>
    <row r="60" spans="1:9" ht="12.75">
      <c r="A60" s="17">
        <f>IF(B60="Mo",Spieltage!$B$48,IF(B60="Di",Spieltage!$B$49,IF(B60="Mi",Spieltage!$B$50,IF(B60="Do",Spieltage!$B$51,IF(B60="Fr",Spieltage!$B$52,"")))))</f>
        <v>41610</v>
      </c>
      <c r="B60" t="str">
        <f>VLOOKUP(10,Bezirkslno,3,FALSE)</f>
        <v>Mo</v>
      </c>
      <c r="C60" s="19">
        <f>VLOOKUP(10,Bezirkslno,4,FALSE)</f>
        <v>0.8125</v>
      </c>
      <c r="D60" t="str">
        <f>VLOOKUP(10,Bezirkslno,2,FALSE)</f>
        <v>DJK Schiffweiler</v>
      </c>
      <c r="E60" s="18" t="s">
        <v>35</v>
      </c>
      <c r="F60" t="str">
        <f>VLOOKUP(9,Bezirkslno,2,FALSE)</f>
        <v>TuS Neunkirchen</v>
      </c>
      <c r="G60" s="17">
        <f>IF(H60="Mo",Spieltage!$F$48,IF(H60="Di",Spieltage!$F$49,IF(H60="Mi",Spieltage!$F$50,IF(H60="Do",Spieltage!$F$51,IF(H60="Fr",Spieltage!$F$52,"")))))</f>
        <v>41731</v>
      </c>
      <c r="H60" t="str">
        <f>VLOOKUP(9,Bezirkslno,3,FALSE)</f>
        <v>Mi</v>
      </c>
      <c r="I60" s="19">
        <f>VLOOKUP(9,Bezirkslno,4,FALSE)</f>
        <v>0.8125</v>
      </c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2" sqref="A2"/>
    </sheetView>
  </sheetViews>
  <sheetFormatPr defaultColWidth="11.421875" defaultRowHeight="12.75"/>
  <cols>
    <col min="1" max="1" width="10.28125" style="0" customWidth="1"/>
    <col min="2" max="2" width="3.7109375" style="0" customWidth="1"/>
    <col min="3" max="3" width="5.7109375" style="0" customWidth="1"/>
    <col min="4" max="4" width="21.7109375" style="0" customWidth="1"/>
    <col min="5" max="5" width="1.7109375" style="0" customWidth="1"/>
    <col min="6" max="6" width="21.7109375" style="0" customWidth="1"/>
    <col min="7" max="7" width="10.28125" style="0" customWidth="1"/>
    <col min="8" max="8" width="3.7109375" style="0" customWidth="1"/>
    <col min="9" max="9" width="5.7109375" style="0" customWidth="1"/>
  </cols>
  <sheetData>
    <row r="1" spans="1:9" ht="12.75">
      <c r="A1" s="1" t="s">
        <v>31</v>
      </c>
      <c r="I1" s="20" t="s">
        <v>32</v>
      </c>
    </row>
    <row r="2" ht="15.75">
      <c r="D2" s="4" t="s">
        <v>15</v>
      </c>
    </row>
    <row r="4" spans="1:4" ht="15.75">
      <c r="A4" s="4" t="s">
        <v>33</v>
      </c>
      <c r="D4" s="1" t="str">
        <f>Spieltage!A3&amp;" "&amp;Spieltage!B3</f>
        <v>Saison 2013/2014</v>
      </c>
    </row>
    <row r="6" spans="1:7" ht="12.75">
      <c r="A6" s="1" t="s">
        <v>28</v>
      </c>
      <c r="G6" s="1" t="s">
        <v>30</v>
      </c>
    </row>
    <row r="8" spans="1:9" ht="12.75">
      <c r="A8" s="17">
        <f>IF(B8="Mo",Spieltage!$B$8,IF(B8="Di",Spieltage!$B$9,IF(B8="Mi",Spieltage!$B$10,IF(B8="Do",Spieltage!$B$11,IF(B8="Fr",Spieltage!$B$12,"")))))</f>
        <v>41528</v>
      </c>
      <c r="B8" t="str">
        <f>VLOOKUP(1,Klsued,3,FALSE)</f>
        <v>Mi</v>
      </c>
      <c r="C8" s="19">
        <f>VLOOKUP(1,Klsued,4,FALSE)</f>
        <v>0.7916666666666666</v>
      </c>
      <c r="D8" t="str">
        <f>VLOOKUP(1,Klsued,2,FALSE)</f>
        <v>DJK Saarbrücken-Rastpfuhl 2</v>
      </c>
      <c r="E8" s="18" t="s">
        <v>35</v>
      </c>
      <c r="F8" t="str">
        <f>VLOOKUP(9,Klsued,2,FALSE)</f>
        <v>TTV Eiweiler-Niedersalbach</v>
      </c>
      <c r="G8" s="17">
        <f>IF(H8="Mo",Spieltage!$F$8,IF(H8="Di",Spieltage!$F$9,IF(H8="Mi",Spieltage!$F$10,IF(H8="Do",Spieltage!$F$11,IF(H8="Fr",Spieltage!$F$12,"")))))</f>
        <v>41645</v>
      </c>
      <c r="H8" t="str">
        <f>VLOOKUP(9,Klsued,3,FALSE)</f>
        <v>Mo</v>
      </c>
      <c r="I8" s="19">
        <f>VLOOKUP(9,Klsued,4,FALSE)</f>
        <v>0.8125</v>
      </c>
    </row>
    <row r="9" spans="1:9" ht="12.75">
      <c r="A9" s="17">
        <f>IF(B9="Mo",Spieltage!$B$8,IF(B9="Di",Spieltage!$B$9,IF(B9="Mi",Spieltage!$B$10,IF(B9="Do",Spieltage!$B$11,IF(B9="Fr",Spieltage!$B$12,"")))))</f>
        <v>41530</v>
      </c>
      <c r="B9" t="str">
        <f>VLOOKUP(2,Klsued,3,FALSE)</f>
        <v>Fr</v>
      </c>
      <c r="C9" s="19">
        <f>VLOOKUP(2,Klsued,4,FALSE)</f>
        <v>0.7916666666666666</v>
      </c>
      <c r="D9" t="str">
        <f>VLOOKUP(2,Klsued,2,FALSE)</f>
        <v>DJK Heusweiler 3</v>
      </c>
      <c r="E9" s="18" t="s">
        <v>35</v>
      </c>
      <c r="F9" t="str">
        <f>VLOOKUP(8,Klsued,2,FALSE)</f>
        <v>TTC Püttlingen 2</v>
      </c>
      <c r="G9" s="17">
        <f>IF(H9="Mo",Spieltage!$F$8,IF(H9="Di",Spieltage!$F$9,IF(H9="Mi",Spieltage!$F$10,IF(H9="Do",Spieltage!$F$11,IF(H9="Fr",Spieltage!$F$12,"")))))</f>
        <v>41645</v>
      </c>
      <c r="H9" t="str">
        <f>VLOOKUP(8,Klsued,3,FALSE)</f>
        <v>Mo</v>
      </c>
      <c r="I9" s="19">
        <f>VLOOKUP(8,Klsued,4,FALSE)</f>
        <v>0.8125</v>
      </c>
    </row>
    <row r="10" spans="1:9" ht="12.75">
      <c r="A10" s="17">
        <f>IF(B10="Mo",Spieltage!$B$8,IF(B10="Di",Spieltage!$B$9,IF(B10="Mi",Spieltage!$B$10,IF(B10="Do",Spieltage!$B$11,IF(B10="Fr",Spieltage!$B$12,"")))))</f>
        <v>41530</v>
      </c>
      <c r="B10" t="str">
        <f>VLOOKUP(3,Klsued,3,FALSE)</f>
        <v>Fr</v>
      </c>
      <c r="C10" s="19">
        <f>VLOOKUP(3,Klsued,4,FALSE)</f>
        <v>0.8125</v>
      </c>
      <c r="D10" t="str">
        <f>VLOOKUP(3,Klsued,2,FALSE)</f>
        <v>DJK Dudweiler 4</v>
      </c>
      <c r="E10" s="18" t="s">
        <v>35</v>
      </c>
      <c r="F10" t="str">
        <f>VLOOKUP(7,Klsued,2,FALSE)</f>
        <v>TTC Gersweiler 2</v>
      </c>
      <c r="G10" s="17">
        <f>IF(H10="Mo",Spieltage!$F$8,IF(H10="Di",Spieltage!$F$9,IF(H10="Mi",Spieltage!$F$10,IF(H10="Do",Spieltage!$F$11,IF(H10="Fr",Spieltage!$F$12,"")))))</f>
        <v>41648</v>
      </c>
      <c r="H10" t="str">
        <f>VLOOKUP(7,Klsued,3,FALSE)</f>
        <v>Do</v>
      </c>
      <c r="I10" s="19">
        <f>VLOOKUP(7,Klsued,4,FALSE)</f>
        <v>0.7916666666666666</v>
      </c>
    </row>
    <row r="11" spans="1:9" ht="12.75">
      <c r="A11" s="17">
        <f>IF(B11="Mo",Spieltage!$B$8,IF(B11="Di",Spieltage!$B$9,IF(B11="Mi",Spieltage!$B$10,IF(B11="Do",Spieltage!$B$11,IF(B11="Fr",Spieltage!$B$12,"")))))</f>
        <v>41528</v>
      </c>
      <c r="B11" t="str">
        <f>VLOOKUP(4,Klsued,3,FALSE)</f>
        <v>Mi</v>
      </c>
      <c r="C11" s="19">
        <f>VLOOKUP(4,Klsued,4,FALSE)</f>
        <v>0.8125</v>
      </c>
      <c r="D11" t="str">
        <f>VLOOKUP(4,Klsued,2,FALSE)</f>
        <v>TTC Köllerbach 3</v>
      </c>
      <c r="E11" s="18" t="s">
        <v>35</v>
      </c>
      <c r="F11" t="str">
        <f>VLOOKUP(6,Klsued,2,FALSE)</f>
        <v>Post SV Saarbrücken </v>
      </c>
      <c r="G11" s="17">
        <f>IF(H11="Mo",Spieltage!$F$8,IF(H11="Di",Spieltage!$F$9,IF(H11="Mi",Spieltage!$F$10,IF(H11="Do",Spieltage!$F$11,IF(H11="Fr",Spieltage!$F$12,"")))))</f>
        <v>41648</v>
      </c>
      <c r="H11" t="str">
        <f>VLOOKUP(6,Klsued,3,FALSE)</f>
        <v>Do</v>
      </c>
      <c r="I11" s="19">
        <f>VLOOKUP(6,Klsued,4,FALSE)</f>
        <v>0.7916666666666666</v>
      </c>
    </row>
    <row r="12" spans="1:9" ht="12.75">
      <c r="A12" s="17">
        <f>IF(B12="Mo",Spieltage!$B$8,IF(B12="Di",Spieltage!$B$9,IF(B12="Mi",Spieltage!$B$10,IF(B12="Do",Spieltage!$B$11,IF(B12="Fr",Spieltage!$B$12,"")))))</f>
        <v>41530</v>
      </c>
      <c r="B12" t="str">
        <f>VLOOKUP(10,Klsued,3,FALSE)</f>
        <v>Fr</v>
      </c>
      <c r="C12" s="19">
        <f>VLOOKUP(10,Klsued,4,FALSE)</f>
        <v>0.8125</v>
      </c>
      <c r="D12" t="str">
        <f>VLOOKUP(10,Klsued,2,FALSE)</f>
        <v>SV Saar 05 Saarbrücken 2</v>
      </c>
      <c r="E12" s="18" t="s">
        <v>35</v>
      </c>
      <c r="F12" t="str">
        <f>VLOOKUP(5,Klsued,2,FALSE)</f>
        <v>Polizei SV TT Saarbrüücken</v>
      </c>
      <c r="G12" s="17">
        <f>IF(H12="Mo",Spieltage!$F$8,IF(H12="Di",Spieltage!$F$9,IF(H12="Mi",Spieltage!$F$10,IF(H12="Do",Spieltage!$F$11,IF(H12="Fr",Spieltage!$F$12,"")))))</f>
        <v>41648</v>
      </c>
      <c r="H12" t="str">
        <f>VLOOKUP(5,Klsued,3,FALSE)</f>
        <v>Do</v>
      </c>
      <c r="I12" s="19">
        <f>VLOOKUP(5,Klsued,4,FALSE)</f>
        <v>0.8125</v>
      </c>
    </row>
    <row r="13" ht="12.75">
      <c r="E13" s="18"/>
    </row>
    <row r="14" spans="1:9" ht="12.75">
      <c r="A14" s="17">
        <f>IF(B14="Mo",Spieltage!$B$13,IF(B14="Di",Spieltage!$B$14,IF(B14="Mi",Spieltage!$B$15,IF(B14="Do",Spieltage!$B$16,IF(B14="Fr",Spieltage!$B$17,"")))))</f>
        <v>41535</v>
      </c>
      <c r="B14" t="str">
        <f>VLOOKUP(1,Klsued,3,FALSE)</f>
        <v>Mi</v>
      </c>
      <c r="C14" s="19">
        <f>VLOOKUP(1,Klsued,4,FALSE)</f>
        <v>0.7916666666666666</v>
      </c>
      <c r="D14" t="str">
        <f>VLOOKUP(1,Klsued,2,FALSE)</f>
        <v>DJK Saarbrücken-Rastpfuhl 2</v>
      </c>
      <c r="E14" s="18" t="s">
        <v>35</v>
      </c>
      <c r="F14" t="str">
        <f>VLOOKUP(3,Klsued,2,FALSE)</f>
        <v>DJK Dudweiler 4</v>
      </c>
      <c r="G14" s="17">
        <f>IF(H14="Mo",Spieltage!$F$13,IF(H14="Di",Spieltage!$F$14,IF(H14="Mi",Spieltage!$F$15,IF(H14="Do",Spieltage!$F$16,IF(H14="Fr",Spieltage!$F$17,"")))))</f>
        <v>41663</v>
      </c>
      <c r="H14" t="str">
        <f>VLOOKUP(3,Klsued,3,FALSE)</f>
        <v>Fr</v>
      </c>
      <c r="I14" s="19">
        <f>VLOOKUP(3,Klsued,4,FALSE)</f>
        <v>0.8125</v>
      </c>
    </row>
    <row r="15" spans="1:9" ht="12.75">
      <c r="A15" s="17">
        <f>IF(B15="Mo",Spieltage!$B$13,IF(B15="Di",Spieltage!$B$14,IF(B15="Mi",Spieltage!$B$15,IF(B15="Do",Spieltage!$B$16,IF(B15="Fr",Spieltage!$B$17,"")))))</f>
        <v>41536</v>
      </c>
      <c r="B15" t="str">
        <f>VLOOKUP(6,Klsued,3,FALSE)</f>
        <v>Do</v>
      </c>
      <c r="C15" s="19">
        <f>VLOOKUP(6,Klsued,4,FALSE)</f>
        <v>0.7916666666666666</v>
      </c>
      <c r="D15" t="str">
        <f>VLOOKUP(6,Klsued,2,FALSE)</f>
        <v>Post SV Saarbrücken </v>
      </c>
      <c r="E15" s="18" t="s">
        <v>35</v>
      </c>
      <c r="F15" t="str">
        <f>VLOOKUP(10,Klsued,2,FALSE)</f>
        <v>SV Saar 05 Saarbrücken 2</v>
      </c>
      <c r="G15" s="17">
        <f>IF(H15="Mo",Spieltage!$F$13,IF(H15="Di",Spieltage!$F$14,IF(H15="Mi",Spieltage!$F$15,IF(H15="Do",Spieltage!$F$16,IF(H15="Fr",Spieltage!$F$17,"")))))</f>
        <v>41663</v>
      </c>
      <c r="H15" t="str">
        <f>VLOOKUP(10,Klsued,3,FALSE)</f>
        <v>Fr</v>
      </c>
      <c r="I15" s="19">
        <f>VLOOKUP(10,Klsued,4,FALSE)</f>
        <v>0.8125</v>
      </c>
    </row>
    <row r="16" spans="1:9" ht="12.75">
      <c r="A16" s="17">
        <f>IF(B16="Mo",Spieltage!$B$13,IF(B16="Di",Spieltage!$B$14,IF(B16="Mi",Spieltage!$B$15,IF(B16="Do",Spieltage!$B$16,IF(B16="Fr",Spieltage!$B$17,"")))))</f>
        <v>41536</v>
      </c>
      <c r="B16" t="str">
        <f>VLOOKUP(7,Klsued,3,FALSE)</f>
        <v>Do</v>
      </c>
      <c r="C16" s="19">
        <f>VLOOKUP(7,Klsued,4,FALSE)</f>
        <v>0.7916666666666666</v>
      </c>
      <c r="D16" t="str">
        <f>VLOOKUP(7,Klsued,2,FALSE)</f>
        <v>TTC Gersweiler 2</v>
      </c>
      <c r="E16" s="18" t="s">
        <v>35</v>
      </c>
      <c r="F16" t="str">
        <f>VLOOKUP(4,Klsued,2,FALSE)</f>
        <v>TTC Köllerbach 3</v>
      </c>
      <c r="G16" s="17">
        <f>IF(H16="Mo",Spieltage!$F$13,IF(H16="Di",Spieltage!$F$14,IF(H16="Mi",Spieltage!$F$15,IF(H16="Do",Spieltage!$F$16,IF(H16="Fr",Spieltage!$F$17,"")))))</f>
        <v>41661</v>
      </c>
      <c r="H16" t="str">
        <f>VLOOKUP(4,Klsued,3,FALSE)</f>
        <v>Mi</v>
      </c>
      <c r="I16" s="19">
        <f>VLOOKUP(4,Klsued,4,FALSE)</f>
        <v>0.8125</v>
      </c>
    </row>
    <row r="17" spans="1:9" ht="12.75">
      <c r="A17" s="17">
        <f>IF(B17="Mo",Spieltage!$B$13,IF(B17="Di",Spieltage!$B$14,IF(B17="Mi",Spieltage!$B$15,IF(B17="Do",Spieltage!$B$16,IF(B17="Fr",Spieltage!$B$17,"")))))</f>
        <v>41533</v>
      </c>
      <c r="B17" t="str">
        <f>VLOOKUP(8,Klsued,3,FALSE)</f>
        <v>Mo</v>
      </c>
      <c r="C17" s="19">
        <f>VLOOKUP(8,Klsued,4,FALSE)</f>
        <v>0.8125</v>
      </c>
      <c r="D17" t="str">
        <f>VLOOKUP(8,Klsued,2,FALSE)</f>
        <v>TTC Püttlingen 2</v>
      </c>
      <c r="E17" s="18" t="s">
        <v>35</v>
      </c>
      <c r="F17" t="str">
        <f>VLOOKUP(5,Klsued,2,FALSE)</f>
        <v>Polizei SV TT Saarbrüücken</v>
      </c>
      <c r="G17" s="17">
        <f>IF(H17="Mo",Spieltage!$F$13,IF(H17="Di",Spieltage!$F$14,IF(H17="Mi",Spieltage!$F$15,IF(H17="Do",Spieltage!$F$16,IF(H17="Fr",Spieltage!$F$17,"")))))</f>
        <v>41662</v>
      </c>
      <c r="H17" t="str">
        <f>VLOOKUP(5,Klsued,3,FALSE)</f>
        <v>Do</v>
      </c>
      <c r="I17" s="19">
        <f>VLOOKUP(5,Klsued,4,FALSE)</f>
        <v>0.8125</v>
      </c>
    </row>
    <row r="18" spans="1:9" ht="12.75">
      <c r="A18" s="17">
        <f>IF(B18="Mo",Spieltage!$B$13,IF(B18="Di",Spieltage!$B$14,IF(B18="Mi",Spieltage!$B$15,IF(B18="Do",Spieltage!$B$16,IF(B18="Fr",Spieltage!$B$17,"")))))</f>
        <v>41533</v>
      </c>
      <c r="B18" t="str">
        <f>VLOOKUP(9,Klsued,3,FALSE)</f>
        <v>Mo</v>
      </c>
      <c r="C18" s="19">
        <f>VLOOKUP(9,Klsued,4,FALSE)</f>
        <v>0.8125</v>
      </c>
      <c r="D18" t="str">
        <f>VLOOKUP(9,Klsued,2,FALSE)</f>
        <v>TTV Eiweiler-Niedersalbach</v>
      </c>
      <c r="E18" s="18" t="s">
        <v>35</v>
      </c>
      <c r="F18" t="str">
        <f>VLOOKUP(2,Klsued,2,FALSE)</f>
        <v>DJK Heusweiler 3</v>
      </c>
      <c r="G18" s="17">
        <f>IF(H18="Mo",Spieltage!$F$13,IF(H18="Di",Spieltage!$F$14,IF(H18="Mi",Spieltage!$F$15,IF(H18="Do",Spieltage!$F$16,IF(H18="Fr",Spieltage!$F$17,"")))))</f>
        <v>41663</v>
      </c>
      <c r="H18" t="str">
        <f>VLOOKUP(2,Klsued,3,FALSE)</f>
        <v>Fr</v>
      </c>
      <c r="I18" s="19">
        <f>VLOOKUP(2,Klsued,4,FALSE)</f>
        <v>0.7916666666666666</v>
      </c>
    </row>
    <row r="20" spans="1:9" ht="12.75">
      <c r="A20" s="17">
        <f>IF(B20="Mo",Spieltage!$B$18,IF(B20="Di",Spieltage!$B$19,IF(B20="Mi",Spieltage!$B$20,IF(B20="Do",Spieltage!$B$21,IF(B20="Fr",Spieltage!$B$22,"")))))</f>
        <v>41544</v>
      </c>
      <c r="B20" t="str">
        <f>VLOOKUP(2,Klsued,3,FALSE)</f>
        <v>Fr</v>
      </c>
      <c r="C20" s="19">
        <f>VLOOKUP(2,Klsued,4,FALSE)</f>
        <v>0.7916666666666666</v>
      </c>
      <c r="D20" t="str">
        <f>VLOOKUP(2,Klsued,2,FALSE)</f>
        <v>DJK Heusweiler 3</v>
      </c>
      <c r="E20" s="18" t="s">
        <v>35</v>
      </c>
      <c r="F20" t="str">
        <f>VLOOKUP(1,Klsued,2,FALSE)</f>
        <v>DJK Saarbrücken-Rastpfuhl 2</v>
      </c>
      <c r="G20" s="17">
        <f>IF(H20="Mo",Spieltage!$F$18,IF(H20="Di",Spieltage!$F$19,IF(H20="Mi",Spieltage!$F$20,IF(H20="Do",Spieltage!$F$21,IF(H20="Fr",Spieltage!$F$22,"")))))</f>
        <v>41668</v>
      </c>
      <c r="H20" t="str">
        <f>VLOOKUP(1,Klsued,3,FALSE)</f>
        <v>Mi</v>
      </c>
      <c r="I20" s="19">
        <f>VLOOKUP(1,Klsued,4,FALSE)</f>
        <v>0.7916666666666666</v>
      </c>
    </row>
    <row r="21" spans="1:9" ht="12.75">
      <c r="A21" s="17">
        <f>IF(B21="Mo",Spieltage!$B$18,IF(B21="Di",Spieltage!$B$19,IF(B21="Mi",Spieltage!$B$20,IF(B21="Do",Spieltage!$B$21,IF(B21="Fr",Spieltage!$B$22,"")))))</f>
        <v>41544</v>
      </c>
      <c r="B21" t="str">
        <f>VLOOKUP(3,Klsued,3,FALSE)</f>
        <v>Fr</v>
      </c>
      <c r="C21" s="19">
        <f>VLOOKUP(3,Klsued,4,FALSE)</f>
        <v>0.8125</v>
      </c>
      <c r="D21" t="str">
        <f>VLOOKUP(3,Klsued,2,FALSE)</f>
        <v>DJK Dudweiler 4</v>
      </c>
      <c r="E21" s="18" t="s">
        <v>35</v>
      </c>
      <c r="F21" t="str">
        <f>VLOOKUP(9,Klsued,2,FALSE)</f>
        <v>TTV Eiweiler-Niedersalbach</v>
      </c>
      <c r="G21" s="17">
        <f>IF(H21="Mo",Spieltage!$F$18,IF(H21="Di",Spieltage!$F$19,IF(H21="Mi",Spieltage!$F$20,IF(H21="Do",Spieltage!$F$21,IF(H21="Fr",Spieltage!$F$22,"")))))</f>
        <v>41666</v>
      </c>
      <c r="H21" t="str">
        <f>VLOOKUP(9,Klsued,3,FALSE)</f>
        <v>Mo</v>
      </c>
      <c r="I21" s="19">
        <f>VLOOKUP(9,Klsued,4,FALSE)</f>
        <v>0.8125</v>
      </c>
    </row>
    <row r="22" spans="1:9" ht="12.75">
      <c r="A22" s="17">
        <f>IF(B22="Mo",Spieltage!$B$18,IF(B22="Di",Spieltage!$B$19,IF(B22="Mi",Spieltage!$B$20,IF(B22="Do",Spieltage!$B$21,IF(B22="Fr",Spieltage!$B$22,"")))))</f>
        <v>41542</v>
      </c>
      <c r="B22" t="str">
        <f>VLOOKUP(4,Klsued,3,FALSE)</f>
        <v>Mi</v>
      </c>
      <c r="C22" s="19">
        <f>VLOOKUP(4,Klsued,4,FALSE)</f>
        <v>0.8125</v>
      </c>
      <c r="D22" t="str">
        <f>VLOOKUP(4,Klsued,2,FALSE)</f>
        <v>TTC Köllerbach 3</v>
      </c>
      <c r="E22" s="18" t="s">
        <v>35</v>
      </c>
      <c r="F22" t="str">
        <f>VLOOKUP(8,Klsued,2,FALSE)</f>
        <v>TTC Püttlingen 2</v>
      </c>
      <c r="G22" s="17">
        <f>IF(H22="Mo",Spieltage!$F$18,IF(H22="Di",Spieltage!$F$19,IF(H22="Mi",Spieltage!$F$20,IF(H22="Do",Spieltage!$F$21,IF(H22="Fr",Spieltage!$F$22,"")))))</f>
        <v>41666</v>
      </c>
      <c r="H22" t="str">
        <f>VLOOKUP(8,Klsued,3,FALSE)</f>
        <v>Mo</v>
      </c>
      <c r="I22" s="19">
        <f>VLOOKUP(8,Klsued,4,FALSE)</f>
        <v>0.8125</v>
      </c>
    </row>
    <row r="23" spans="1:9" ht="12.75">
      <c r="A23" s="17">
        <f>IF(B23="Mo",Spieltage!$B$18,IF(B23="Di",Spieltage!$B$19,IF(B23="Mi",Spieltage!$B$20,IF(B23="Do",Spieltage!$B$21,IF(B23="Fr",Spieltage!$B$22,"")))))</f>
        <v>41543</v>
      </c>
      <c r="B23" t="str">
        <f>VLOOKUP(5,Klsued,3,FALSE)</f>
        <v>Do</v>
      </c>
      <c r="C23" s="19">
        <f>VLOOKUP(5,Klsued,4,FALSE)</f>
        <v>0.8125</v>
      </c>
      <c r="D23" t="str">
        <f>VLOOKUP(5,Klsued,2,FALSE)</f>
        <v>Polizei SV TT Saarbrüücken</v>
      </c>
      <c r="E23" s="18" t="s">
        <v>35</v>
      </c>
      <c r="F23" t="str">
        <f>VLOOKUP(6,Klsued,2,FALSE)</f>
        <v>Post SV Saarbrücken </v>
      </c>
      <c r="G23" s="17">
        <f>IF(H23="Mo",Spieltage!$F$18,IF(H23="Di",Spieltage!$F$19,IF(H23="Mi",Spieltage!$F$20,IF(H23="Do",Spieltage!$F$21,IF(H23="Fr",Spieltage!$F$22,"")))))</f>
        <v>41669</v>
      </c>
      <c r="H23" t="str">
        <f>VLOOKUP(6,Klsued,3,FALSE)</f>
        <v>Do</v>
      </c>
      <c r="I23" s="19">
        <f>VLOOKUP(6,Klsued,4,FALSE)</f>
        <v>0.7916666666666666</v>
      </c>
    </row>
    <row r="24" spans="1:9" ht="12.75">
      <c r="A24" s="17">
        <f>IF(B24="Mo",Spieltage!$B$18,IF(B24="Di",Spieltage!$B$19,IF(B24="Mi",Spieltage!$B$20,IF(B24="Do",Spieltage!$B$21,IF(B24="Fr",Spieltage!$B$22,"")))))</f>
        <v>41544</v>
      </c>
      <c r="B24" t="str">
        <f>VLOOKUP(10,Klsued,3,FALSE)</f>
        <v>Fr</v>
      </c>
      <c r="C24" s="19">
        <f>VLOOKUP(10,Klsued,4,FALSE)</f>
        <v>0.8125</v>
      </c>
      <c r="D24" t="str">
        <f>VLOOKUP(10,Klsued,2,FALSE)</f>
        <v>SV Saar 05 Saarbrücken 2</v>
      </c>
      <c r="E24" s="18" t="s">
        <v>35</v>
      </c>
      <c r="F24" t="str">
        <f>VLOOKUP(7,Klsued,2,FALSE)</f>
        <v>TTC Gersweiler 2</v>
      </c>
      <c r="G24" s="17">
        <f>IF(H24="Mo",Spieltage!$F$18,IF(H24="Di",Spieltage!$F$19,IF(H24="Mi",Spieltage!$F$20,IF(H24="Do",Spieltage!$F$21,IF(H24="Fr",Spieltage!$F$22,"")))))</f>
        <v>41669</v>
      </c>
      <c r="H24" t="str">
        <f>VLOOKUP(7,Klsued,3,FALSE)</f>
        <v>Do</v>
      </c>
      <c r="I24" s="19">
        <f>VLOOKUP(7,Klsued,4,FALSE)</f>
        <v>0.7916666666666666</v>
      </c>
    </row>
    <row r="26" spans="1:9" ht="12.75">
      <c r="A26" s="17">
        <f>IF(B26="Mo",Spieltage!$B$23,IF(B26="Di",Spieltage!$B$24,IF(B26="Mi",Spieltage!$B$25,IF(B26="Do",Spieltage!$B$26,IF(B26="Fr",Spieltage!$B$27,"")))))</f>
        <v>41556</v>
      </c>
      <c r="B26" t="str">
        <f>VLOOKUP(1,Klsued,3,FALSE)</f>
        <v>Mi</v>
      </c>
      <c r="C26" s="19">
        <f>VLOOKUP(1,Klsued,4,FALSE)</f>
        <v>0.7916666666666666</v>
      </c>
      <c r="D26" t="str">
        <f>VLOOKUP(1,Klsued,2,FALSE)</f>
        <v>DJK Saarbrücken-Rastpfuhl 2</v>
      </c>
      <c r="E26" s="18" t="s">
        <v>35</v>
      </c>
      <c r="F26" t="str">
        <f>VLOOKUP(6,Klsued,2,FALSE)</f>
        <v>Post SV Saarbrücken </v>
      </c>
      <c r="G26" s="17">
        <f>IF(H26="Mo",Spieltage!$F$23,IF(H26="Di",Spieltage!$F$24,IF(H26="Mi",Spieltage!$F$25,IF(H26="Do",Spieltage!$F$26,IF(H26="Fr",Spieltage!$F$27,"")))))</f>
        <v>41676</v>
      </c>
      <c r="H26" t="str">
        <f>VLOOKUP(6,Klsued,3,FALSE)</f>
        <v>Do</v>
      </c>
      <c r="I26" s="19">
        <f>VLOOKUP(6,Klsued,4,FALSE)</f>
        <v>0.7916666666666666</v>
      </c>
    </row>
    <row r="27" spans="1:9" ht="12.75">
      <c r="A27" s="17">
        <f>IF(B27="Mo",Spieltage!$B$23,IF(B27="Di",Spieltage!$B$24,IF(B27="Mi",Spieltage!$B$25,IF(B27="Do",Spieltage!$B$26,IF(B27="Fr",Spieltage!$B$27,"")))))</f>
        <v>41558</v>
      </c>
      <c r="B27" t="str">
        <f>VLOOKUP(2,Klsued,3,FALSE)</f>
        <v>Fr</v>
      </c>
      <c r="C27" s="19">
        <f>VLOOKUP(2,Klsued,4,FALSE)</f>
        <v>0.7916666666666666</v>
      </c>
      <c r="D27" t="str">
        <f>VLOOKUP(2,Klsued,2,FALSE)</f>
        <v>DJK Heusweiler 3</v>
      </c>
      <c r="E27" s="18" t="s">
        <v>35</v>
      </c>
      <c r="F27" t="str">
        <f>VLOOKUP(3,Klsued,2,FALSE)</f>
        <v>DJK Dudweiler 4</v>
      </c>
      <c r="G27" s="17">
        <f>IF(H27="Mo",Spieltage!$F$23,IF(H27="Di",Spieltage!$F$24,IF(H27="Mi",Spieltage!$F$25,IF(H27="Do",Spieltage!$F$26,IF(H27="Fr",Spieltage!$F$27,"")))))</f>
        <v>41677</v>
      </c>
      <c r="H27" t="str">
        <f>VLOOKUP(3,Klsued,3,FALSE)</f>
        <v>Fr</v>
      </c>
      <c r="I27" s="19">
        <f>VLOOKUP(3,Klsued,4,FALSE)</f>
        <v>0.8125</v>
      </c>
    </row>
    <row r="28" spans="1:9" ht="12.75">
      <c r="A28" s="17">
        <f>IF(B28="Mo",Spieltage!$B$23,IF(B28="Di",Spieltage!$B$24,IF(B28="Mi",Spieltage!$B$25,IF(B28="Do",Spieltage!$B$26,IF(B28="Fr",Spieltage!$B$27,"")))))</f>
        <v>41557</v>
      </c>
      <c r="B28" t="str">
        <f>VLOOKUP(7,Klsued,3,FALSE)</f>
        <v>Do</v>
      </c>
      <c r="C28" s="19">
        <f>VLOOKUP(7,Klsued,4,FALSE)</f>
        <v>0.7916666666666666</v>
      </c>
      <c r="D28" t="str">
        <f>VLOOKUP(7,Klsued,2,FALSE)</f>
        <v>TTC Gersweiler 2</v>
      </c>
      <c r="E28" s="18" t="s">
        <v>35</v>
      </c>
      <c r="F28" t="str">
        <f>VLOOKUP(5,Klsued,2,FALSE)</f>
        <v>Polizei SV TT Saarbrüücken</v>
      </c>
      <c r="G28" s="17">
        <f>IF(H28="Mo",Spieltage!$F$23,IF(H28="Di",Spieltage!$F$24,IF(H28="Mi",Spieltage!$F$25,IF(H28="Do",Spieltage!$F$26,IF(H28="Fr",Spieltage!$F$27,"")))))</f>
        <v>41676</v>
      </c>
      <c r="H28" t="str">
        <f>VLOOKUP(5,Klsued,3,FALSE)</f>
        <v>Do</v>
      </c>
      <c r="I28" s="19">
        <f>VLOOKUP(5,Klsued,4,FALSE)</f>
        <v>0.8125</v>
      </c>
    </row>
    <row r="29" spans="1:9" ht="12.75">
      <c r="A29" s="17">
        <f>IF(B29="Mo",Spieltage!$B$23,IF(B29="Di",Spieltage!$B$24,IF(B29="Mi",Spieltage!$B$25,IF(B29="Do",Spieltage!$B$26,IF(B29="Fr",Spieltage!$B$27,"")))))</f>
        <v>41554</v>
      </c>
      <c r="B29" t="str">
        <f>VLOOKUP(8,Klsued,3,FALSE)</f>
        <v>Mo</v>
      </c>
      <c r="C29" s="19">
        <f>VLOOKUP(8,Klsued,4,FALSE)</f>
        <v>0.8125</v>
      </c>
      <c r="D29" t="str">
        <f>VLOOKUP(8,Klsued,2,FALSE)</f>
        <v>TTC Püttlingen 2</v>
      </c>
      <c r="E29" s="18" t="s">
        <v>35</v>
      </c>
      <c r="F29" t="str">
        <f>VLOOKUP(10,Klsued,2,FALSE)</f>
        <v>SV Saar 05 Saarbrücken 2</v>
      </c>
      <c r="G29" s="17">
        <f>IF(H29="Mo",Spieltage!$F$23,IF(H29="Di",Spieltage!$F$24,IF(H29="Mi",Spieltage!$F$25,IF(H29="Do",Spieltage!$F$26,IF(H29="Fr",Spieltage!$F$27,"")))))</f>
        <v>41677</v>
      </c>
      <c r="H29" t="str">
        <f>VLOOKUP(10,Klsued,3,FALSE)</f>
        <v>Fr</v>
      </c>
      <c r="I29" s="19">
        <f>VLOOKUP(10,Klsued,4,FALSE)</f>
        <v>0.8125</v>
      </c>
    </row>
    <row r="30" spans="1:9" ht="12.75">
      <c r="A30" s="17">
        <f>IF(B30="Mo",Spieltage!$B$23,IF(B30="Di",Spieltage!$B$24,IF(B30="Mi",Spieltage!$B$25,IF(B30="Do",Spieltage!$B$26,IF(B30="Fr",Spieltage!$B$27,"")))))</f>
        <v>41554</v>
      </c>
      <c r="B30" t="str">
        <f>VLOOKUP(9,Klsued,3,FALSE)</f>
        <v>Mo</v>
      </c>
      <c r="C30" s="19">
        <f>VLOOKUP(9,Klsued,4,FALSE)</f>
        <v>0.8125</v>
      </c>
      <c r="D30" t="str">
        <f>VLOOKUP(9,Klsued,2,FALSE)</f>
        <v>TTV Eiweiler-Niedersalbach</v>
      </c>
      <c r="E30" s="18" t="s">
        <v>35</v>
      </c>
      <c r="F30" t="str">
        <f>VLOOKUP(4,Klsued,2,FALSE)</f>
        <v>TTC Köllerbach 3</v>
      </c>
      <c r="G30" s="17">
        <f>IF(H30="Mo",Spieltage!$F$23,IF(H30="Di",Spieltage!$F$24,IF(H30="Mi",Spieltage!$F$25,IF(H30="Do",Spieltage!$F$26,IF(H30="Fr",Spieltage!$F$27,"")))))</f>
        <v>41675</v>
      </c>
      <c r="H30" t="str">
        <f>VLOOKUP(4,Klsued,3,FALSE)</f>
        <v>Mi</v>
      </c>
      <c r="I30" s="19">
        <f>VLOOKUP(4,Klsued,4,FALSE)</f>
        <v>0.8125</v>
      </c>
    </row>
    <row r="32" spans="1:9" ht="12.75">
      <c r="A32" s="17">
        <f>IF(B32="Mo",Spieltage!$B$28,IF(B32="Di",Spieltage!$B$29,IF(B32="Mi",Spieltage!$B$30,IF(B32="Do",Spieltage!$B$31,IF(B32="Fr",Spieltage!$B$32,"")))))</f>
        <v>41565</v>
      </c>
      <c r="B32" t="str">
        <f>VLOOKUP(3,Klsued,3,FALSE)</f>
        <v>Fr</v>
      </c>
      <c r="C32" s="19">
        <f>VLOOKUP(3,Klsued,4,FALSE)</f>
        <v>0.8125</v>
      </c>
      <c r="D32" t="str">
        <f>VLOOKUP(3,Klsued,2,FALSE)</f>
        <v>DJK Dudweiler 4</v>
      </c>
      <c r="E32" s="18" t="s">
        <v>35</v>
      </c>
      <c r="F32" t="str">
        <f>VLOOKUP(8,Klsued,2,FALSE)</f>
        <v>TTC Püttlingen 2</v>
      </c>
      <c r="G32" s="17">
        <f>IF(H32="Mo",Spieltage!$F$28,IF(H32="Di",Spieltage!$F$29,IF(H32="Mi",Spieltage!$F$30,IF(H32="Do",Spieltage!$F$31,IF(H32="Fr",Spieltage!$F$32,"")))))</f>
        <v>41680</v>
      </c>
      <c r="H32" t="str">
        <f>VLOOKUP(8,Klsued,3,FALSE)</f>
        <v>Mo</v>
      </c>
      <c r="I32" s="19">
        <f>VLOOKUP(8,Klsued,4,FALSE)</f>
        <v>0.8125</v>
      </c>
    </row>
    <row r="33" spans="1:9" ht="12.75">
      <c r="A33" s="17">
        <f>IF(B33="Mo",Spieltage!$B$28,IF(B33="Di",Spieltage!$B$29,IF(B33="Mi",Spieltage!$B$30,IF(B33="Do",Spieltage!$B$31,IF(B33="Fr",Spieltage!$B$32,"")))))</f>
        <v>41563</v>
      </c>
      <c r="B33" t="str">
        <f>VLOOKUP(4,Klsued,3,FALSE)</f>
        <v>Mi</v>
      </c>
      <c r="C33" s="19">
        <f>VLOOKUP(4,Klsued,4,FALSE)</f>
        <v>0.8125</v>
      </c>
      <c r="D33" t="str">
        <f>VLOOKUP(4,Klsued,2,FALSE)</f>
        <v>TTC Köllerbach 3</v>
      </c>
      <c r="E33" s="18" t="s">
        <v>35</v>
      </c>
      <c r="F33" t="str">
        <f>VLOOKUP(2,Klsued,2,FALSE)</f>
        <v>DJK Heusweiler 3</v>
      </c>
      <c r="G33" s="17">
        <f>IF(H33="Mo",Spieltage!$F$28,IF(H33="Di",Spieltage!$F$29,IF(H33="Mi",Spieltage!$F$30,IF(H33="Do",Spieltage!$F$31,IF(H33="Fr",Spieltage!$F$32,"")))))</f>
        <v>41684</v>
      </c>
      <c r="H33" t="str">
        <f>VLOOKUP(2,Klsued,3,FALSE)</f>
        <v>Fr</v>
      </c>
      <c r="I33" s="19">
        <f>VLOOKUP(2,Klsued,4,FALSE)</f>
        <v>0.7916666666666666</v>
      </c>
    </row>
    <row r="34" spans="1:9" ht="12.75">
      <c r="A34" s="17">
        <f>IF(B34="Mo",Spieltage!$B$28,IF(B34="Di",Spieltage!$B$29,IF(B34="Mi",Spieltage!$B$30,IF(B34="Do",Spieltage!$B$31,IF(B34="Fr",Spieltage!$B$32,"")))))</f>
        <v>41564</v>
      </c>
      <c r="B34" t="str">
        <f>VLOOKUP(5,Klsued,3,FALSE)</f>
        <v>Do</v>
      </c>
      <c r="C34" s="19">
        <f>VLOOKUP(5,Klsued,4,FALSE)</f>
        <v>0.8125</v>
      </c>
      <c r="D34" t="str">
        <f>VLOOKUP(5,Klsued,2,FALSE)</f>
        <v>Polizei SV TT Saarbrüücken</v>
      </c>
      <c r="E34" s="18" t="s">
        <v>35</v>
      </c>
      <c r="F34" t="str">
        <f>VLOOKUP(9,Klsued,2,FALSE)</f>
        <v>TTV Eiweiler-Niedersalbach</v>
      </c>
      <c r="G34" s="17">
        <f>IF(H34="Mo",Spieltage!$F$28,IF(H34="Di",Spieltage!$F$29,IF(H34="Mi",Spieltage!$F$30,IF(H34="Do",Spieltage!$F$31,IF(H34="Fr",Spieltage!$F$32,"")))))</f>
        <v>41680</v>
      </c>
      <c r="H34" t="str">
        <f>VLOOKUP(9,Klsued,3,FALSE)</f>
        <v>Mo</v>
      </c>
      <c r="I34" s="19">
        <f>VLOOKUP(9,Klsued,4,FALSE)</f>
        <v>0.8125</v>
      </c>
    </row>
    <row r="35" spans="1:9" ht="12.75">
      <c r="A35" s="17">
        <f>IF(B35="Mo",Spieltage!$B$28,IF(B35="Di",Spieltage!$B$29,IF(B35="Mi",Spieltage!$B$30,IF(B35="Do",Spieltage!$B$31,IF(B35="Fr",Spieltage!$B$32,"")))))</f>
        <v>41564</v>
      </c>
      <c r="B35" t="str">
        <f>VLOOKUP(6,Klsued,3,FALSE)</f>
        <v>Do</v>
      </c>
      <c r="C35" s="19">
        <f>VLOOKUP(6,Klsued,4,FALSE)</f>
        <v>0.7916666666666666</v>
      </c>
      <c r="D35" t="str">
        <f>VLOOKUP(6,Klsued,2,FALSE)</f>
        <v>Post SV Saarbrücken </v>
      </c>
      <c r="E35" s="18" t="s">
        <v>35</v>
      </c>
      <c r="F35" t="str">
        <f>VLOOKUP(7,Klsued,2,FALSE)</f>
        <v>TTC Gersweiler 2</v>
      </c>
      <c r="G35" s="17">
        <f>IF(H35="Mo",Spieltage!$F$28,IF(H35="Di",Spieltage!$F$29,IF(H35="Mi",Spieltage!$F$30,IF(H35="Do",Spieltage!$F$31,IF(H35="Fr",Spieltage!$F$32,"")))))</f>
        <v>41683</v>
      </c>
      <c r="H35" t="str">
        <f>VLOOKUP(7,Klsued,3,FALSE)</f>
        <v>Do</v>
      </c>
      <c r="I35" s="19">
        <f>VLOOKUP(7,Klsued,4,FALSE)</f>
        <v>0.7916666666666666</v>
      </c>
    </row>
    <row r="36" spans="1:9" ht="12.75">
      <c r="A36" s="17">
        <f>IF(B36="Mo",Spieltage!$B$28,IF(B36="Di",Spieltage!$B$29,IF(B36="Mi",Spieltage!$B$30,IF(B36="Do",Spieltage!$B$31,IF(B36="Fr",Spieltage!$B$32,"")))))</f>
        <v>41565</v>
      </c>
      <c r="B36" t="str">
        <f>VLOOKUP(10,Klsued,3,FALSE)</f>
        <v>Fr</v>
      </c>
      <c r="C36" s="19">
        <f>VLOOKUP(10,Klsued,4,FALSE)</f>
        <v>0.8125</v>
      </c>
      <c r="D36" t="str">
        <f>VLOOKUP(10,Klsued,2,FALSE)</f>
        <v>SV Saar 05 Saarbrücken 2</v>
      </c>
      <c r="E36" s="18" t="s">
        <v>35</v>
      </c>
      <c r="F36" t="str">
        <f>VLOOKUP(1,Klsued,2,FALSE)</f>
        <v>DJK Saarbrücken-Rastpfuhl 2</v>
      </c>
      <c r="G36" s="17">
        <f>IF(H36="Mo",Spieltage!$F$28,IF(H36="Di",Spieltage!$F$29,IF(H36="Mi",Spieltage!$F$30,IF(H36="Do",Spieltage!$F$31,IF(H36="Fr",Spieltage!$F$32,"")))))</f>
        <v>41682</v>
      </c>
      <c r="H36" t="str">
        <f>VLOOKUP(1,Klsued,3,FALSE)</f>
        <v>Mi</v>
      </c>
      <c r="I36" s="19">
        <f>VLOOKUP(1,Klsued,4,FALSE)</f>
        <v>0.7916666666666666</v>
      </c>
    </row>
    <row r="38" spans="1:9" ht="12.75">
      <c r="A38" s="17">
        <f>IF(B38="Mo",Spieltage!$B$33,IF(B38="Di",Spieltage!$B$34,IF(B38="Mi",Spieltage!$B$35,IF(B38="Do",Spieltage!$B$36,IF(B38="Fr",Spieltage!$B$37,"")))))</f>
        <v>41584</v>
      </c>
      <c r="B38" t="str">
        <f>VLOOKUP(1,Klsued,3,FALSE)</f>
        <v>Mi</v>
      </c>
      <c r="C38" s="19">
        <f>VLOOKUP(1,Klsued,4,FALSE)</f>
        <v>0.7916666666666666</v>
      </c>
      <c r="D38" t="str">
        <f>VLOOKUP(1,Klsued,2,FALSE)</f>
        <v>DJK Saarbrücken-Rastpfuhl 2</v>
      </c>
      <c r="E38" s="18" t="s">
        <v>35</v>
      </c>
      <c r="F38" t="str">
        <f>VLOOKUP(5,Klsued,2,FALSE)</f>
        <v>Polizei SV TT Saarbrüücken</v>
      </c>
      <c r="G38" s="17">
        <f>IF(H38="Mo",Spieltage!$F$33,IF(H38="Di",Spieltage!$F$34,IF(H38="Mi",Spieltage!$F$35,IF(H38="Do",Spieltage!$F$36,IF(H38="Fr",Spieltage!$F$37,"")))))</f>
        <v>41690</v>
      </c>
      <c r="H38" t="str">
        <f>VLOOKUP(5,Klsued,3,FALSE)</f>
        <v>Do</v>
      </c>
      <c r="I38" s="19">
        <f>VLOOKUP(5,Klsued,4,FALSE)</f>
        <v>0.8125</v>
      </c>
    </row>
    <row r="39" spans="1:9" ht="12.75">
      <c r="A39" s="17">
        <f>IF(B39="Mo",Spieltage!$B$33,IF(B39="Di",Spieltage!$B$34,IF(B39="Mi",Spieltage!$B$35,IF(B39="Do",Spieltage!$B$36,IF(B39="Fr",Spieltage!$B$37,"")))))</f>
        <v>41586</v>
      </c>
      <c r="B39" t="str">
        <f>VLOOKUP(2,Klsued,3,FALSE)</f>
        <v>Fr</v>
      </c>
      <c r="C39" s="19">
        <f>VLOOKUP(2,Klsued,4,FALSE)</f>
        <v>0.7916666666666666</v>
      </c>
      <c r="D39" t="str">
        <f>VLOOKUP(2,Klsued,2,FALSE)</f>
        <v>DJK Heusweiler 3</v>
      </c>
      <c r="E39" s="18" t="s">
        <v>35</v>
      </c>
      <c r="F39" t="str">
        <f>VLOOKUP(10,Klsued,2,FALSE)</f>
        <v>SV Saar 05 Saarbrücken 2</v>
      </c>
      <c r="G39" s="17">
        <f>IF(H39="Mo",Spieltage!$F$33,IF(H39="Di",Spieltage!$F$34,IF(H39="Mi",Spieltage!$F$35,IF(H39="Do",Spieltage!$F$36,IF(H39="Fr",Spieltage!$F$37,"")))))</f>
        <v>41691</v>
      </c>
      <c r="H39" t="str">
        <f>VLOOKUP(10,Klsued,3,FALSE)</f>
        <v>Fr</v>
      </c>
      <c r="I39" s="19">
        <f>VLOOKUP(10,Klsued,4,FALSE)</f>
        <v>0.8125</v>
      </c>
    </row>
    <row r="40" spans="1:9" ht="12.75">
      <c r="A40" s="17">
        <f>IF(B40="Mo",Spieltage!$B$33,IF(B40="Di",Spieltage!$B$34,IF(B40="Mi",Spieltage!$B$35,IF(B40="Do",Spieltage!$B$36,IF(B40="Fr",Spieltage!$B$37,"")))))</f>
        <v>41586</v>
      </c>
      <c r="B40" t="str">
        <f>VLOOKUP(3,Klsued,3,FALSE)</f>
        <v>Fr</v>
      </c>
      <c r="C40" s="19">
        <f>VLOOKUP(3,Klsued,4,FALSE)</f>
        <v>0.8125</v>
      </c>
      <c r="D40" t="str">
        <f>VLOOKUP(3,Klsued,2,FALSE)</f>
        <v>DJK Dudweiler 4</v>
      </c>
      <c r="E40" s="18" t="s">
        <v>35</v>
      </c>
      <c r="F40" t="str">
        <f>VLOOKUP(4,Klsued,2,FALSE)</f>
        <v>TTC Köllerbach 3</v>
      </c>
      <c r="G40" s="17">
        <f>IF(H40="Mo",Spieltage!$F$33,IF(H40="Di",Spieltage!$F$34,IF(H40="Mi",Spieltage!$F$35,IF(H40="Do",Spieltage!$F$36,IF(H40="Fr",Spieltage!$F$37,"")))))</f>
        <v>41689</v>
      </c>
      <c r="H40" t="str">
        <f>VLOOKUP(4,Klsued,3,FALSE)</f>
        <v>Mi</v>
      </c>
      <c r="I40" s="19">
        <f>VLOOKUP(4,Klsued,4,FALSE)</f>
        <v>0.8125</v>
      </c>
    </row>
    <row r="41" spans="1:9" ht="12.75">
      <c r="A41" s="17">
        <f>IF(B41="Mo",Spieltage!$B$33,IF(B41="Di",Spieltage!$B$34,IF(B41="Mi",Spieltage!$B$35,IF(B41="Do",Spieltage!$B$36,IF(B41="Fr",Spieltage!$B$37,"")))))</f>
        <v>41582</v>
      </c>
      <c r="B41" t="str">
        <f>VLOOKUP(8,Klsued,3,FALSE)</f>
        <v>Mo</v>
      </c>
      <c r="C41" s="19">
        <f>VLOOKUP(8,Klsued,4,FALSE)</f>
        <v>0.8125</v>
      </c>
      <c r="D41" t="str">
        <f>VLOOKUP(8,Klsued,2,FALSE)</f>
        <v>TTC Püttlingen 2</v>
      </c>
      <c r="E41" s="18" t="s">
        <v>35</v>
      </c>
      <c r="F41" t="str">
        <f>VLOOKUP(7,Klsued,2,FALSE)</f>
        <v>TTC Gersweiler 2</v>
      </c>
      <c r="G41" s="17">
        <f>IF(H41="Mo",Spieltage!$F$33,IF(H41="Di",Spieltage!$F$34,IF(H41="Mi",Spieltage!$F$35,IF(H41="Do",Spieltage!$F$36,IF(H41="Fr",Spieltage!$F$37,"")))))</f>
        <v>41690</v>
      </c>
      <c r="H41" t="str">
        <f>VLOOKUP(7,Klsued,3,FALSE)</f>
        <v>Do</v>
      </c>
      <c r="I41" s="19">
        <f>VLOOKUP(7,Klsued,4,FALSE)</f>
        <v>0.7916666666666666</v>
      </c>
    </row>
    <row r="42" spans="1:9" ht="12.75">
      <c r="A42" s="17">
        <f>IF(B42="Mo",Spieltage!$B$33,IF(B42="Di",Spieltage!$B$34,IF(B42="Mi",Spieltage!$B$35,IF(B42="Do",Spieltage!$B$36,IF(B42="Fr",Spieltage!$B$37,"")))))</f>
        <v>41582</v>
      </c>
      <c r="B42" t="str">
        <f>VLOOKUP(9,Klsued,3,FALSE)</f>
        <v>Mo</v>
      </c>
      <c r="C42" s="19">
        <f>VLOOKUP(9,Klsued,4,FALSE)</f>
        <v>0.8125</v>
      </c>
      <c r="D42" t="str">
        <f>VLOOKUP(9,Klsued,2,FALSE)</f>
        <v>TTV Eiweiler-Niedersalbach</v>
      </c>
      <c r="E42" s="18" t="s">
        <v>35</v>
      </c>
      <c r="F42" t="str">
        <f>VLOOKUP(6,Klsued,2,FALSE)</f>
        <v>Post SV Saarbrücken </v>
      </c>
      <c r="G42" s="17">
        <f>IF(H42="Mo",Spieltage!$F$33,IF(H42="Di",Spieltage!$F$34,IF(H42="Mi",Spieltage!$F$35,IF(H42="Do",Spieltage!$F$36,IF(H42="Fr",Spieltage!$F$37,"")))))</f>
        <v>41690</v>
      </c>
      <c r="H42" t="str">
        <f>VLOOKUP(6,Klsued,3,FALSE)</f>
        <v>Do</v>
      </c>
      <c r="I42" s="19">
        <f>VLOOKUP(6,Klsued,4,FALSE)</f>
        <v>0.7916666666666666</v>
      </c>
    </row>
    <row r="44" spans="1:9" ht="12.75">
      <c r="A44" s="17">
        <f>IF(B44="Mo",Spieltage!$B$38,IF(B44="Di",Spieltage!$B$39,IF(B44="Mi",Spieltage!$B$40,IF(B44="Do",Spieltage!$B$41,IF(B44="Fr",Spieltage!$B$42,"")))))</f>
        <v>41591</v>
      </c>
      <c r="B44" t="str">
        <f>VLOOKUP(4,Klsued,3,FALSE)</f>
        <v>Mi</v>
      </c>
      <c r="C44" s="19">
        <f>VLOOKUP(4,Klsued,4,FALSE)</f>
        <v>0.8125</v>
      </c>
      <c r="D44" t="str">
        <f>VLOOKUP(4,Klsued,2,FALSE)</f>
        <v>TTC Köllerbach 3</v>
      </c>
      <c r="E44" s="18" t="s">
        <v>35</v>
      </c>
      <c r="F44" t="str">
        <f>VLOOKUP(1,Klsued,2,FALSE)</f>
        <v>DJK Saarbrücken-Rastpfuhl 2</v>
      </c>
      <c r="G44" s="17">
        <f>IF(H44="Mo",Spieltage!$F$38,IF(H44="Di",Spieltage!$F$39,IF(H44="Mi",Spieltage!$F$40,IF(H44="Do",Spieltage!$F$41,IF(H44="Fr",Spieltage!$F$42,"")))))</f>
        <v>41710</v>
      </c>
      <c r="H44" t="str">
        <f>VLOOKUP(1,Klsued,3,FALSE)</f>
        <v>Mi</v>
      </c>
      <c r="I44" s="19">
        <f>VLOOKUP(1,Klsued,4,FALSE)</f>
        <v>0.7916666666666666</v>
      </c>
    </row>
    <row r="45" spans="1:9" ht="12.75">
      <c r="A45" s="17">
        <f>IF(B45="Mo",Spieltage!$B$38,IF(B45="Di",Spieltage!$B$39,IF(B45="Mi",Spieltage!$B$40,IF(B45="Do",Spieltage!$B$41,IF(B45="Fr",Spieltage!$B$42,"")))))</f>
        <v>41592</v>
      </c>
      <c r="B45" t="str">
        <f>VLOOKUP(5,Klsued,3,FALSE)</f>
        <v>Do</v>
      </c>
      <c r="C45" s="19">
        <f>VLOOKUP(5,Klsued,4,FALSE)</f>
        <v>0.8125</v>
      </c>
      <c r="D45" t="str">
        <f>VLOOKUP(5,Klsued,2,FALSE)</f>
        <v>Polizei SV TT Saarbrüücken</v>
      </c>
      <c r="E45" s="18" t="s">
        <v>35</v>
      </c>
      <c r="F45" t="str">
        <f>VLOOKUP(2,Klsued,2,FALSE)</f>
        <v>DJK Heusweiler 3</v>
      </c>
      <c r="G45" s="17">
        <f>IF(H45="Mo",Spieltage!$F$38,IF(H45="Di",Spieltage!$F$39,IF(H45="Mi",Spieltage!$F$40,IF(H45="Do",Spieltage!$F$41,IF(H45="Fr",Spieltage!$F$42,"")))))</f>
        <v>41712</v>
      </c>
      <c r="H45" t="str">
        <f>VLOOKUP(2,Klsued,3,FALSE)</f>
        <v>Fr</v>
      </c>
      <c r="I45" s="19">
        <f>VLOOKUP(2,Klsued,4,FALSE)</f>
        <v>0.7916666666666666</v>
      </c>
    </row>
    <row r="46" spans="1:9" ht="12.75">
      <c r="A46" s="17">
        <f>IF(B46="Mo",Spieltage!$B$38,IF(B46="Di",Spieltage!$B$39,IF(B46="Mi",Spieltage!$B$40,IF(B46="Do",Spieltage!$B$41,IF(B46="Fr",Spieltage!$B$42,"")))))</f>
        <v>41592</v>
      </c>
      <c r="B46" t="str">
        <f>VLOOKUP(6,Klsued,3,FALSE)</f>
        <v>Do</v>
      </c>
      <c r="C46" s="19">
        <f>VLOOKUP(6,Klsued,4,FALSE)</f>
        <v>0.7916666666666666</v>
      </c>
      <c r="D46" t="str">
        <f>VLOOKUP(6,Klsued,2,FALSE)</f>
        <v>Post SV Saarbrücken </v>
      </c>
      <c r="E46" s="18" t="s">
        <v>35</v>
      </c>
      <c r="F46" t="str">
        <f>VLOOKUP(8,Klsued,2,FALSE)</f>
        <v>TTC Püttlingen 2</v>
      </c>
      <c r="G46" s="17">
        <f>IF(H46="Mo",Spieltage!$F$38,IF(H46="Di",Spieltage!$F$39,IF(H46="Mi",Spieltage!$F$40,IF(H46="Do",Spieltage!$F$41,IF(H46="Fr",Spieltage!$F$42,"")))))</f>
        <v>41708</v>
      </c>
      <c r="H46" t="str">
        <f>VLOOKUP(8,Klsued,3,FALSE)</f>
        <v>Mo</v>
      </c>
      <c r="I46" s="19">
        <f>VLOOKUP(8,Klsued,4,FALSE)</f>
        <v>0.8125</v>
      </c>
    </row>
    <row r="47" spans="1:9" ht="12.75">
      <c r="A47" s="17">
        <f>IF(B47="Mo",Spieltage!$B$38,IF(B47="Di",Spieltage!$B$39,IF(B47="Mi",Spieltage!$B$40,IF(B47="Do",Spieltage!$B$41,IF(B47="Fr",Spieltage!$B$42,"")))))</f>
        <v>41592</v>
      </c>
      <c r="B47" t="str">
        <f>VLOOKUP(7,Klsued,3,FALSE)</f>
        <v>Do</v>
      </c>
      <c r="C47" s="19">
        <f>VLOOKUP(7,Klsued,4,FALSE)</f>
        <v>0.7916666666666666</v>
      </c>
      <c r="D47" t="str">
        <f>VLOOKUP(7,Klsued,2,FALSE)</f>
        <v>TTC Gersweiler 2</v>
      </c>
      <c r="E47" s="18" t="s">
        <v>35</v>
      </c>
      <c r="F47" t="str">
        <f>VLOOKUP(9,Klsued,2,FALSE)</f>
        <v>TTV Eiweiler-Niedersalbach</v>
      </c>
      <c r="G47" s="17">
        <f>IF(H47="Mo",Spieltage!$F$38,IF(H47="Di",Spieltage!$F$39,IF(H47="Mi",Spieltage!$F$40,IF(H47="Do",Spieltage!$F$41,IF(H47="Fr",Spieltage!$F$42,"")))))</f>
        <v>41708</v>
      </c>
      <c r="H47" t="str">
        <f>VLOOKUP(9,Klsued,3,FALSE)</f>
        <v>Mo</v>
      </c>
      <c r="I47" s="19">
        <f>VLOOKUP(9,Klsued,4,FALSE)</f>
        <v>0.8125</v>
      </c>
    </row>
    <row r="48" spans="1:9" ht="12.75">
      <c r="A48" s="17">
        <f>IF(B48="Mo",Spieltage!$B$38,IF(B48="Di",Spieltage!$B$39,IF(B48="Mi",Spieltage!$B$40,IF(B48="Do",Spieltage!$B$41,IF(B48="Fr",Spieltage!$B$42,"")))))</f>
        <v>41593</v>
      </c>
      <c r="B48" t="str">
        <f>VLOOKUP(10,Klsued,3,FALSE)</f>
        <v>Fr</v>
      </c>
      <c r="C48" s="19">
        <f>VLOOKUP(10,Klsued,4,FALSE)</f>
        <v>0.8125</v>
      </c>
      <c r="D48" t="str">
        <f>VLOOKUP(10,Klsued,2,FALSE)</f>
        <v>SV Saar 05 Saarbrücken 2</v>
      </c>
      <c r="E48" s="18" t="s">
        <v>35</v>
      </c>
      <c r="F48" t="str">
        <f>VLOOKUP(3,Klsued,2,FALSE)</f>
        <v>DJK Dudweiler 4</v>
      </c>
      <c r="G48" s="17">
        <f>IF(H48="Mo",Spieltage!$F$38,IF(H48="Di",Spieltage!$F$39,IF(H48="Mi",Spieltage!$F$40,IF(H48="Do",Spieltage!$F$41,IF(H48="Fr",Spieltage!$F$42,"")))))</f>
        <v>41712</v>
      </c>
      <c r="H48" t="str">
        <f>VLOOKUP(3,Klsued,3,FALSE)</f>
        <v>Fr</v>
      </c>
      <c r="I48" s="19">
        <f>VLOOKUP(3,Klsued,4,FALSE)</f>
        <v>0.8125</v>
      </c>
    </row>
    <row r="50" spans="1:9" ht="12.75">
      <c r="A50" s="17">
        <f>IF(B50="Mo",Spieltage!$B$43,IF(B50="Di",Spieltage!$B$44,IF(B50="Mi",Spieltage!$B$45,IF(B50="Do",Spieltage!$B$46,IF(B50="Fr",Spieltage!$B$47,"")))))</f>
        <v>40874</v>
      </c>
      <c r="B50" t="str">
        <f>VLOOKUP(1,Klsued,3,FALSE)</f>
        <v>Mi</v>
      </c>
      <c r="C50" s="19">
        <f>VLOOKUP(1,Klsued,4,FALSE)</f>
        <v>0.7916666666666666</v>
      </c>
      <c r="D50" t="str">
        <f>VLOOKUP(1,Klsued,2,FALSE)</f>
        <v>DJK Saarbrücken-Rastpfuhl 2</v>
      </c>
      <c r="E50" s="18" t="s">
        <v>35</v>
      </c>
      <c r="F50" t="str">
        <f>VLOOKUP(7,Klsued,2,FALSE)</f>
        <v>TTC Gersweiler 2</v>
      </c>
      <c r="G50" s="17">
        <f>IF(H50="Mo",Spieltage!$F$43,IF(H50="Di",Spieltage!$F$44,IF(H50="Mi",Spieltage!$F$45,IF(H50="Do",Spieltage!$F$46,IF(H50="Fr",Spieltage!$F$47,"")))))</f>
        <v>41725</v>
      </c>
      <c r="H50" t="str">
        <f>VLOOKUP(7,Klsued,3,FALSE)</f>
        <v>Do</v>
      </c>
      <c r="I50" s="19">
        <f>VLOOKUP(7,Klsued,4,FALSE)</f>
        <v>0.7916666666666666</v>
      </c>
    </row>
    <row r="51" spans="1:9" ht="12.75">
      <c r="A51" s="17">
        <f>IF(B51="Mo",Spieltage!$B$43,IF(B51="Di",Spieltage!$B$44,IF(B51="Mi",Spieltage!$B$45,IF(B51="Do",Spieltage!$B$46,IF(B51="Fr",Spieltage!$B$47,"")))))</f>
        <v>40876</v>
      </c>
      <c r="B51" t="str">
        <f>VLOOKUP(2,Klsued,3,FALSE)</f>
        <v>Fr</v>
      </c>
      <c r="C51" s="19">
        <f>VLOOKUP(2,Klsued,4,FALSE)</f>
        <v>0.7916666666666666</v>
      </c>
      <c r="D51" t="str">
        <f>VLOOKUP(2,Klsued,2,FALSE)</f>
        <v>DJK Heusweiler 3</v>
      </c>
      <c r="E51" s="18" t="s">
        <v>35</v>
      </c>
      <c r="F51" t="str">
        <f>VLOOKUP(6,Klsued,2,FALSE)</f>
        <v>Post SV Saarbrücken </v>
      </c>
      <c r="G51" s="17">
        <f>IF(H51="Mo",Spieltage!$F$43,IF(H51="Di",Spieltage!$F$44,IF(H51="Mi",Spieltage!$F$45,IF(H51="Do",Spieltage!$F$46,IF(H51="Fr",Spieltage!$F$47,"")))))</f>
        <v>41725</v>
      </c>
      <c r="H51" t="str">
        <f>VLOOKUP(6,Klsued,3,FALSE)</f>
        <v>Do</v>
      </c>
      <c r="I51" s="19">
        <f>VLOOKUP(6,Klsued,4,FALSE)</f>
        <v>0.7916666666666666</v>
      </c>
    </row>
    <row r="52" spans="1:9" ht="12.75">
      <c r="A52" s="17">
        <f>IF(B52="Mo",Spieltage!$B$43,IF(B52="Di",Spieltage!$B$44,IF(B52="Mi",Spieltage!$B$45,IF(B52="Do",Spieltage!$B$46,IF(B52="Fr",Spieltage!$B$47,"")))))</f>
        <v>40876</v>
      </c>
      <c r="B52" t="str">
        <f>VLOOKUP(3,Klsued,3,FALSE)</f>
        <v>Fr</v>
      </c>
      <c r="C52" s="19">
        <f>VLOOKUP(3,Klsued,4,FALSE)</f>
        <v>0.8125</v>
      </c>
      <c r="D52" t="str">
        <f>VLOOKUP(3,Klsued,2,FALSE)</f>
        <v>DJK Dudweiler 4</v>
      </c>
      <c r="E52" s="18" t="s">
        <v>35</v>
      </c>
      <c r="F52" t="str">
        <f>VLOOKUP(5,Klsued,2,FALSE)</f>
        <v>Polizei SV TT Saarbrüücken</v>
      </c>
      <c r="G52" s="17">
        <f>IF(H52="Mo",Spieltage!$F$43,IF(H52="Di",Spieltage!$F$44,IF(H52="Mi",Spieltage!$F$45,IF(H52="Do",Spieltage!$F$46,IF(H52="Fr",Spieltage!$F$47,"")))))</f>
        <v>41725</v>
      </c>
      <c r="H52" t="str">
        <f>VLOOKUP(5,Klsued,3,FALSE)</f>
        <v>Do</v>
      </c>
      <c r="I52" s="19">
        <f>VLOOKUP(5,Klsued,4,FALSE)</f>
        <v>0.8125</v>
      </c>
    </row>
    <row r="53" spans="1:9" ht="12.75">
      <c r="A53" s="17">
        <f>IF(B53="Mo",Spieltage!$B$43,IF(B53="Di",Spieltage!$B$44,IF(B53="Mi",Spieltage!$B$45,IF(B53="Do",Spieltage!$B$46,IF(B53="Fr",Spieltage!$B$47,"")))))</f>
        <v>40874</v>
      </c>
      <c r="B53" t="str">
        <f>VLOOKUP(4,Klsued,3,FALSE)</f>
        <v>Mi</v>
      </c>
      <c r="C53" s="19">
        <f>VLOOKUP(4,Klsued,4,FALSE)</f>
        <v>0.8125</v>
      </c>
      <c r="D53" t="str">
        <f>VLOOKUP(4,Klsued,2,FALSE)</f>
        <v>TTC Köllerbach 3</v>
      </c>
      <c r="E53" s="18" t="s">
        <v>35</v>
      </c>
      <c r="F53" t="str">
        <f>VLOOKUP(10,Klsued,2,FALSE)</f>
        <v>SV Saar 05 Saarbrücken 2</v>
      </c>
      <c r="G53" s="17">
        <f>IF(H53="Mo",Spieltage!$F$43,IF(H53="Di",Spieltage!$F$44,IF(H53="Mi",Spieltage!$F$45,IF(H53="Do",Spieltage!$F$46,IF(H53="Fr",Spieltage!$F$47,"")))))</f>
        <v>41726</v>
      </c>
      <c r="H53" t="str">
        <f>VLOOKUP(10,Klsued,3,FALSE)</f>
        <v>Fr</v>
      </c>
      <c r="I53" s="19">
        <f>VLOOKUP(10,Klsued,4,FALSE)</f>
        <v>0.8125</v>
      </c>
    </row>
    <row r="54" spans="1:9" ht="12.75">
      <c r="A54" s="17">
        <f>IF(B54="Mo",Spieltage!$B$43,IF(B54="Di",Spieltage!$B$44,IF(B54="Mi",Spieltage!$B$45,IF(B54="Do",Spieltage!$B$46,IF(B54="Fr",Spieltage!$B$47,"")))))</f>
        <v>40872</v>
      </c>
      <c r="B54" t="str">
        <f>VLOOKUP(9,Klsued,3,FALSE)</f>
        <v>Mo</v>
      </c>
      <c r="C54" s="19">
        <f>VLOOKUP(9,Klsued,4,FALSE)</f>
        <v>0.8125</v>
      </c>
      <c r="D54" t="str">
        <f>VLOOKUP(9,Klsued,2,FALSE)</f>
        <v>TTV Eiweiler-Niedersalbach</v>
      </c>
      <c r="E54" s="18" t="s">
        <v>35</v>
      </c>
      <c r="F54" t="str">
        <f>VLOOKUP(8,Klsued,2,FALSE)</f>
        <v>TTC Püttlingen 2</v>
      </c>
      <c r="G54" s="17">
        <f>IF(H54="Mo",Spieltage!$F$43,IF(H54="Di",Spieltage!$F$44,IF(H54="Mi",Spieltage!$F$45,IF(H54="Do",Spieltage!$F$46,IF(H54="Fr",Spieltage!$F$47,"")))))</f>
        <v>41722</v>
      </c>
      <c r="H54" t="str">
        <f>VLOOKUP(8,Klsued,3,FALSE)</f>
        <v>Mo</v>
      </c>
      <c r="I54" s="19">
        <f>VLOOKUP(8,Klsued,4,FALSE)</f>
        <v>0.8125</v>
      </c>
    </row>
    <row r="56" spans="1:9" ht="12.75">
      <c r="A56" s="17">
        <f>IF(B56="Mo",Spieltage!$B$48,IF(B56="Di",Spieltage!$B$49,IF(B56="Mi",Spieltage!$B$50,IF(B56="Do",Spieltage!$B$51,IF(B56="Fr",Spieltage!$B$52,"")))))</f>
        <v>41613</v>
      </c>
      <c r="B56" t="str">
        <f>VLOOKUP(5,Klsued,3,FALSE)</f>
        <v>Do</v>
      </c>
      <c r="C56" s="19">
        <f>VLOOKUP(5,Klsued,4,FALSE)</f>
        <v>0.8125</v>
      </c>
      <c r="D56" t="str">
        <f>VLOOKUP(5,Klsued,2,FALSE)</f>
        <v>Polizei SV TT Saarbrüücken</v>
      </c>
      <c r="E56" s="18" t="s">
        <v>35</v>
      </c>
      <c r="F56" t="str">
        <f>VLOOKUP(4,Klsued,2,FALSE)</f>
        <v>TTC Köllerbach 3</v>
      </c>
      <c r="G56" s="17">
        <f>IF(H56="Mo",Spieltage!$F$48,IF(H56="Di",Spieltage!$F$49,IF(H56="Mi",Spieltage!$F$50,IF(H56="Do",Spieltage!$F$51,IF(H56="Fr",Spieltage!$F$52,"")))))</f>
        <v>41731</v>
      </c>
      <c r="H56" t="str">
        <f>VLOOKUP(4,Klsued,3,FALSE)</f>
        <v>Mi</v>
      </c>
      <c r="I56" s="19">
        <f>VLOOKUP(4,Klsued,4,FALSE)</f>
        <v>0.8125</v>
      </c>
    </row>
    <row r="57" spans="1:9" ht="12.75">
      <c r="A57" s="17">
        <f>IF(B57="Mo",Spieltage!$B$48,IF(B57="Di",Spieltage!$B$49,IF(B57="Mi",Spieltage!$B$50,IF(B57="Do",Spieltage!$B$51,IF(B57="Fr",Spieltage!$B$52,"")))))</f>
        <v>41613</v>
      </c>
      <c r="B57" t="str">
        <f>VLOOKUP(6,Klsued,3,FALSE)</f>
        <v>Do</v>
      </c>
      <c r="C57" s="19">
        <f>VLOOKUP(6,Klsued,4,FALSE)</f>
        <v>0.7916666666666666</v>
      </c>
      <c r="D57" t="str">
        <f>VLOOKUP(6,Klsued,2,FALSE)</f>
        <v>Post SV Saarbrücken </v>
      </c>
      <c r="E57" s="18" t="s">
        <v>35</v>
      </c>
      <c r="F57" t="str">
        <f>VLOOKUP(3,Klsued,2,FALSE)</f>
        <v>DJK Dudweiler 4</v>
      </c>
      <c r="G57" s="17">
        <f>IF(H57="Mo",Spieltage!$F$48,IF(H57="Di",Spieltage!$F$49,IF(H57="Mi",Spieltage!$F$50,IF(H57="Do",Spieltage!$F$51,IF(H57="Fr",Spieltage!$F$52,"")))))</f>
        <v>41733</v>
      </c>
      <c r="H57" t="str">
        <f>VLOOKUP(3,Klsued,3,FALSE)</f>
        <v>Fr</v>
      </c>
      <c r="I57" s="19">
        <f>VLOOKUP(3,Klsued,4,FALSE)</f>
        <v>0.8125</v>
      </c>
    </row>
    <row r="58" spans="1:9" ht="12.75">
      <c r="A58" s="17">
        <f>IF(B58="Mo",Spieltage!$B$48,IF(B58="Di",Spieltage!$B$49,IF(B58="Mi",Spieltage!$B$50,IF(B58="Do",Spieltage!$B$51,IF(B58="Fr",Spieltage!$B$52,"")))))</f>
        <v>41613</v>
      </c>
      <c r="B58" t="str">
        <f>VLOOKUP(7,Klsued,3,FALSE)</f>
        <v>Do</v>
      </c>
      <c r="C58" s="19">
        <f>VLOOKUP(7,Klsued,4,FALSE)</f>
        <v>0.7916666666666666</v>
      </c>
      <c r="D58" t="str">
        <f>VLOOKUP(7,Klsued,2,FALSE)</f>
        <v>TTC Gersweiler 2</v>
      </c>
      <c r="E58" s="18" t="s">
        <v>35</v>
      </c>
      <c r="F58" t="str">
        <f>VLOOKUP(2,Klsued,2,FALSE)</f>
        <v>DJK Heusweiler 3</v>
      </c>
      <c r="G58" s="17">
        <f>IF(H58="Mo",Spieltage!$F$48,IF(H58="Di",Spieltage!$F$49,IF(H58="Mi",Spieltage!$F$50,IF(H58="Do",Spieltage!$F$51,IF(H58="Fr",Spieltage!$F$52,"")))))</f>
        <v>41733</v>
      </c>
      <c r="H58" t="str">
        <f>VLOOKUP(2,Klsued,3,FALSE)</f>
        <v>Fr</v>
      </c>
      <c r="I58" s="19">
        <f>VLOOKUP(2,Klsued,4,FALSE)</f>
        <v>0.7916666666666666</v>
      </c>
    </row>
    <row r="59" spans="1:9" ht="12.75">
      <c r="A59" s="17">
        <f>IF(B59="Mo",Spieltage!$B$48,IF(B59="Di",Spieltage!$B$49,IF(B59="Mi",Spieltage!$B$50,IF(B59="Do",Spieltage!$B$51,IF(B59="Fr",Spieltage!$B$52,"")))))</f>
        <v>41610</v>
      </c>
      <c r="B59" t="str">
        <f>VLOOKUP(8,Klsued,3,FALSE)</f>
        <v>Mo</v>
      </c>
      <c r="C59" s="19">
        <f>VLOOKUP(8,Klsued,4,FALSE)</f>
        <v>0.8125</v>
      </c>
      <c r="D59" t="str">
        <f>VLOOKUP(8,Klsued,2,FALSE)</f>
        <v>TTC Püttlingen 2</v>
      </c>
      <c r="E59" s="18" t="s">
        <v>35</v>
      </c>
      <c r="F59" t="str">
        <f>VLOOKUP(1,Klsued,2,FALSE)</f>
        <v>DJK Saarbrücken-Rastpfuhl 2</v>
      </c>
      <c r="G59" s="17">
        <f>IF(H59="Mo",Spieltage!$F$48,IF(H59="Di",Spieltage!$F$49,IF(H59="Mi",Spieltage!$F$50,IF(H59="Do",Spieltage!$F$51,IF(H59="Fr",Spieltage!$F$52,"")))))</f>
        <v>41731</v>
      </c>
      <c r="H59" t="str">
        <f>VLOOKUP(1,Klsued,3,FALSE)</f>
        <v>Mi</v>
      </c>
      <c r="I59" s="19">
        <f>VLOOKUP(1,Klsued,4,FALSE)</f>
        <v>0.7916666666666666</v>
      </c>
    </row>
    <row r="60" spans="1:9" ht="12.75">
      <c r="A60" s="17">
        <f>IF(B60="Mo",Spieltage!$B$48,IF(B60="Di",Spieltage!$B$49,IF(B60="Mi",Spieltage!$B$50,IF(B60="Do",Spieltage!$B$51,IF(B60="Fr",Spieltage!$B$52,"")))))</f>
        <v>41614</v>
      </c>
      <c r="B60" t="str">
        <f>VLOOKUP(10,Klsued,3,FALSE)</f>
        <v>Fr</v>
      </c>
      <c r="C60" s="19">
        <f>VLOOKUP(10,Klsued,4,FALSE)</f>
        <v>0.8125</v>
      </c>
      <c r="D60" t="str">
        <f>VLOOKUP(10,Klsued,2,FALSE)</f>
        <v>SV Saar 05 Saarbrücken 2</v>
      </c>
      <c r="E60" s="18" t="s">
        <v>35</v>
      </c>
      <c r="F60" t="str">
        <f>VLOOKUP(9,Klsued,2,FALSE)</f>
        <v>TTV Eiweiler-Niedersalbach</v>
      </c>
      <c r="G60" s="17">
        <f>IF(H60="Mo",Spieltage!$F$48,IF(H60="Di",Spieltage!$F$49,IF(H60="Mi",Spieltage!$F$50,IF(H60="Do",Spieltage!$F$51,IF(H60="Fr",Spieltage!$F$52,"")))))</f>
        <v>41729</v>
      </c>
      <c r="H60" t="str">
        <f>VLOOKUP(9,Klsued,3,FALSE)</f>
        <v>Mo</v>
      </c>
      <c r="I60" s="19">
        <f>VLOOKUP(9,Klsued,4,FALSE)</f>
        <v>0.8125</v>
      </c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kdm</cp:lastModifiedBy>
  <cp:lastPrinted>2013-07-31T15:53:16Z</cp:lastPrinted>
  <dcterms:created xsi:type="dcterms:W3CDTF">2009-06-17T11:07:00Z</dcterms:created>
  <dcterms:modified xsi:type="dcterms:W3CDTF">2013-08-01T07:17:49Z</dcterms:modified>
  <cp:category/>
  <cp:version/>
  <cp:contentType/>
  <cp:contentStatus/>
</cp:coreProperties>
</file>